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11910" firstSheet="2" activeTab="12"/>
  </bookViews>
  <sheets>
    <sheet name="Лист4" sheetId="4" r:id="rId1"/>
    <sheet name="Совершенствование скорости" sheetId="2" r:id="rId2"/>
    <sheet name="CI" sheetId="5" r:id="rId3"/>
    <sheet name="CII" sheetId="7" r:id="rId4"/>
    <sheet name="CIII" sheetId="8" r:id="rId5"/>
    <sheet name="CIV" sheetId="9" r:id="rId6"/>
    <sheet name="BI" sheetId="10" r:id="rId7"/>
    <sheet name="BII-a" sheetId="11" r:id="rId8"/>
    <sheet name="BII-b" sheetId="12" r:id="rId9"/>
    <sheet name="BIII" sheetId="13" r:id="rId10"/>
    <sheet name="BIV" sheetId="14" r:id="rId11"/>
    <sheet name="AI" sheetId="15" r:id="rId12"/>
    <sheet name="AII" sheetId="16" r:id="rId13"/>
    <sheet name="Соревнования" sheetId="6" r:id="rId14"/>
  </sheets>
  <definedNames>
    <definedName name="_xlnm.Print_Area" localSheetId="12">AII!$A$1:$Y$27</definedName>
    <definedName name="_xlnm.Print_Area" localSheetId="6">BI!$A$22:$X$37</definedName>
    <definedName name="_xlnm.Print_Area" localSheetId="8">'BII-b'!$A$6:$U$33</definedName>
    <definedName name="_xlnm.Print_Area" localSheetId="9">BIII!$A$6:$S$45</definedName>
    <definedName name="_xlnm.Print_Area" localSheetId="10">BIV!$A$1:$S$31</definedName>
    <definedName name="_xlnm.Print_Area" localSheetId="2">CI!$A$4:$Y$28</definedName>
    <definedName name="_xlnm.Print_Area" localSheetId="3">CII!$A$6:$AB$40</definedName>
    <definedName name="_xlnm.Print_Area" localSheetId="4">CIII!$A$6:$W$33</definedName>
    <definedName name="_xlnm.Print_Area" localSheetId="1">'Совершенствование скорости'!$A$5:$Z$32</definedName>
  </definedNames>
  <calcPr calcId="125725"/>
</workbook>
</file>

<file path=xl/calcChain.xml><?xml version="1.0" encoding="utf-8"?>
<calcChain xmlns="http://schemas.openxmlformats.org/spreadsheetml/2006/main">
  <c r="H23" i="16"/>
  <c r="N22"/>
  <c r="K22"/>
  <c r="H22"/>
  <c r="AA24"/>
  <c r="AA18"/>
  <c r="AE12"/>
  <c r="X5"/>
  <c r="C6"/>
  <c r="H6" s="1"/>
  <c r="T5"/>
  <c r="Q5"/>
  <c r="N5"/>
  <c r="AF29"/>
  <c r="AE26"/>
  <c r="AD26"/>
  <c r="AC26"/>
  <c r="AB26"/>
  <c r="AA23"/>
  <c r="AA22"/>
  <c r="AE20"/>
  <c r="AE29" s="1"/>
  <c r="AD20"/>
  <c r="AC20"/>
  <c r="AB20"/>
  <c r="AA17"/>
  <c r="AA16"/>
  <c r="AA15"/>
  <c r="K15"/>
  <c r="AA14"/>
  <c r="C14"/>
  <c r="K14" s="1"/>
  <c r="AD12"/>
  <c r="AC12"/>
  <c r="AB12"/>
  <c r="AA10"/>
  <c r="AA9"/>
  <c r="AA8"/>
  <c r="AA7"/>
  <c r="AA6"/>
  <c r="AA5"/>
  <c r="K5"/>
  <c r="H5"/>
  <c r="O3"/>
  <c r="K3" s="1"/>
  <c r="K2"/>
  <c r="J2"/>
  <c r="I2"/>
  <c r="AC31" i="15"/>
  <c r="AD31"/>
  <c r="AE31"/>
  <c r="AF31"/>
  <c r="AB31"/>
  <c r="AA30"/>
  <c r="T22"/>
  <c r="Q22"/>
  <c r="U23"/>
  <c r="Q23"/>
  <c r="N23"/>
  <c r="K23"/>
  <c r="H23"/>
  <c r="N22"/>
  <c r="K22"/>
  <c r="H22"/>
  <c r="K5"/>
  <c r="H5"/>
  <c r="AE28"/>
  <c r="AD28"/>
  <c r="AC28"/>
  <c r="AB28"/>
  <c r="AA26"/>
  <c r="AA24"/>
  <c r="AA23"/>
  <c r="AA22"/>
  <c r="AE20"/>
  <c r="AD20"/>
  <c r="AC20"/>
  <c r="AB20"/>
  <c r="AA18"/>
  <c r="AA17"/>
  <c r="AA16"/>
  <c r="AA15"/>
  <c r="C15"/>
  <c r="K15" s="1"/>
  <c r="AA14"/>
  <c r="C14"/>
  <c r="K14" s="1"/>
  <c r="AD12"/>
  <c r="AC12"/>
  <c r="AB12"/>
  <c r="AA10"/>
  <c r="AA9"/>
  <c r="AA8"/>
  <c r="AA7"/>
  <c r="AA6"/>
  <c r="C6"/>
  <c r="K6" s="1"/>
  <c r="AA5"/>
  <c r="O3"/>
  <c r="K3" s="1"/>
  <c r="K2"/>
  <c r="J2"/>
  <c r="I2"/>
  <c r="H9" i="14"/>
  <c r="N8"/>
  <c r="K8"/>
  <c r="H8"/>
  <c r="O3"/>
  <c r="K3" s="1"/>
  <c r="K2"/>
  <c r="J2"/>
  <c r="I2"/>
  <c r="AJ47" i="13"/>
  <c r="H39"/>
  <c r="C39"/>
  <c r="Q38"/>
  <c r="N38"/>
  <c r="K38"/>
  <c r="H38"/>
  <c r="AA25" i="16" l="1"/>
  <c r="AG26"/>
  <c r="AH26" s="1"/>
  <c r="J3"/>
  <c r="H15"/>
  <c r="Q15"/>
  <c r="N15"/>
  <c r="AA19"/>
  <c r="AA11"/>
  <c r="AD29"/>
  <c r="AC29"/>
  <c r="AG12"/>
  <c r="AH12" s="1"/>
  <c r="I3"/>
  <c r="H14"/>
  <c r="N14"/>
  <c r="AG20"/>
  <c r="AH20" s="1"/>
  <c r="AB29"/>
  <c r="H15" i="15"/>
  <c r="I3"/>
  <c r="H6"/>
  <c r="H14"/>
  <c r="N14"/>
  <c r="AG12"/>
  <c r="J3"/>
  <c r="AA11"/>
  <c r="AA19"/>
  <c r="AG20"/>
  <c r="AH20" s="1"/>
  <c r="AA27"/>
  <c r="AH12"/>
  <c r="AG28"/>
  <c r="AH28" s="1"/>
  <c r="J3" i="14"/>
  <c r="I3"/>
  <c r="AH35" i="13"/>
  <c r="AG35"/>
  <c r="AF35"/>
  <c r="AE35"/>
  <c r="AJ35" s="1"/>
  <c r="AD33"/>
  <c r="AD32"/>
  <c r="AD31"/>
  <c r="AD30"/>
  <c r="AD29"/>
  <c r="H29"/>
  <c r="AD28"/>
  <c r="N28"/>
  <c r="K28"/>
  <c r="H28"/>
  <c r="AE25"/>
  <c r="AF25"/>
  <c r="AJ25" s="1"/>
  <c r="AK25" s="1"/>
  <c r="AG25"/>
  <c r="AH25"/>
  <c r="AD38"/>
  <c r="AD39"/>
  <c r="AD40"/>
  <c r="AD41"/>
  <c r="H20"/>
  <c r="K19"/>
  <c r="H8"/>
  <c r="AI45"/>
  <c r="AI47" s="1"/>
  <c r="AH45"/>
  <c r="AH47" s="1"/>
  <c r="AG45"/>
  <c r="AG47" s="1"/>
  <c r="AF45"/>
  <c r="AF47" s="1"/>
  <c r="AE45"/>
  <c r="AE47" s="1"/>
  <c r="AD23"/>
  <c r="AD22"/>
  <c r="AD21"/>
  <c r="AD20"/>
  <c r="AD19"/>
  <c r="H19"/>
  <c r="AD18"/>
  <c r="N18"/>
  <c r="K18"/>
  <c r="H18"/>
  <c r="AH15"/>
  <c r="AG15"/>
  <c r="AF15"/>
  <c r="AE15"/>
  <c r="AJ15" s="1"/>
  <c r="AD13"/>
  <c r="AD12"/>
  <c r="AD11"/>
  <c r="AD10"/>
  <c r="AD9"/>
  <c r="C9"/>
  <c r="H9" s="1"/>
  <c r="AD8"/>
  <c r="O3"/>
  <c r="K3" s="1"/>
  <c r="K2"/>
  <c r="J2"/>
  <c r="I2"/>
  <c r="Q28" i="12"/>
  <c r="N28"/>
  <c r="K28"/>
  <c r="H28"/>
  <c r="Q27"/>
  <c r="N27"/>
  <c r="K27"/>
  <c r="H27"/>
  <c r="C28"/>
  <c r="H19"/>
  <c r="T18"/>
  <c r="Q18"/>
  <c r="N18"/>
  <c r="K18"/>
  <c r="H18"/>
  <c r="C19"/>
  <c r="C35" i="10"/>
  <c r="N9" i="12"/>
  <c r="K9"/>
  <c r="H9"/>
  <c r="N8"/>
  <c r="K8"/>
  <c r="H8"/>
  <c r="C9"/>
  <c r="O3"/>
  <c r="K3" s="1"/>
  <c r="J3"/>
  <c r="K2"/>
  <c r="J2"/>
  <c r="I2"/>
  <c r="AI33"/>
  <c r="AI35" s="1"/>
  <c r="AH33"/>
  <c r="AG33"/>
  <c r="AF33"/>
  <c r="AE33"/>
  <c r="AD31"/>
  <c r="AD30"/>
  <c r="AD29"/>
  <c r="AD28"/>
  <c r="AD27"/>
  <c r="AH25"/>
  <c r="AG25"/>
  <c r="AF25"/>
  <c r="AE25"/>
  <c r="AD23"/>
  <c r="AD22"/>
  <c r="AD21"/>
  <c r="AD20"/>
  <c r="AD19"/>
  <c r="AD18"/>
  <c r="AH15"/>
  <c r="AG15"/>
  <c r="AF15"/>
  <c r="AE15"/>
  <c r="AD13"/>
  <c r="AD12"/>
  <c r="AD11"/>
  <c r="AD10"/>
  <c r="AD9"/>
  <c r="AD8"/>
  <c r="AA29" i="11"/>
  <c r="H14"/>
  <c r="K14"/>
  <c r="N14"/>
  <c r="Q14"/>
  <c r="AA14"/>
  <c r="AA15"/>
  <c r="AA16"/>
  <c r="AB19"/>
  <c r="AC19"/>
  <c r="AD19"/>
  <c r="AD30" s="1"/>
  <c r="AE19"/>
  <c r="AG19"/>
  <c r="AE30"/>
  <c r="W35" i="10"/>
  <c r="T35"/>
  <c r="AA27"/>
  <c r="AA28"/>
  <c r="AA26"/>
  <c r="AC30"/>
  <c r="AD30"/>
  <c r="AE30"/>
  <c r="AF30"/>
  <c r="AF42" s="1"/>
  <c r="AB30"/>
  <c r="AA25"/>
  <c r="AA24"/>
  <c r="AA29" s="1"/>
  <c r="T24"/>
  <c r="Q24"/>
  <c r="N24"/>
  <c r="K24"/>
  <c r="H24"/>
  <c r="H25"/>
  <c r="AA28" i="16" l="1"/>
  <c r="AG29"/>
  <c r="AH29" s="1"/>
  <c r="AG31" i="15"/>
  <c r="AH31" s="1"/>
  <c r="AD44" i="13"/>
  <c r="AD48" s="1"/>
  <c r="AD34"/>
  <c r="AK35"/>
  <c r="J3"/>
  <c r="AD24"/>
  <c r="AD14"/>
  <c r="AK15"/>
  <c r="I3"/>
  <c r="AJ45"/>
  <c r="AD32" i="12"/>
  <c r="AD24"/>
  <c r="AE35"/>
  <c r="AG35"/>
  <c r="AF35"/>
  <c r="AH35"/>
  <c r="AD14"/>
  <c r="I3"/>
  <c r="AJ15"/>
  <c r="AK15" s="1"/>
  <c r="AJ25"/>
  <c r="AK25" s="1"/>
  <c r="AK33"/>
  <c r="AJ33"/>
  <c r="AA18" i="11"/>
  <c r="AH19"/>
  <c r="AG30" i="10"/>
  <c r="AH30" s="1"/>
  <c r="AC30" i="11"/>
  <c r="AB30"/>
  <c r="O3"/>
  <c r="K3" s="1"/>
  <c r="K2"/>
  <c r="J2"/>
  <c r="I2"/>
  <c r="AA36" i="10"/>
  <c r="AA37"/>
  <c r="AC39"/>
  <c r="AD39"/>
  <c r="AE39"/>
  <c r="AB39"/>
  <c r="AA35"/>
  <c r="AA34"/>
  <c r="AA19"/>
  <c r="AA20"/>
  <c r="AA18"/>
  <c r="AA15"/>
  <c r="AA16"/>
  <c r="AC22"/>
  <c r="AD22"/>
  <c r="AE22"/>
  <c r="AB22"/>
  <c r="H17"/>
  <c r="C15"/>
  <c r="K15" s="1"/>
  <c r="AD13"/>
  <c r="AC13"/>
  <c r="AB13"/>
  <c r="AA11"/>
  <c r="AA10"/>
  <c r="AA9"/>
  <c r="AA8"/>
  <c r="AA7"/>
  <c r="AA6"/>
  <c r="AA5"/>
  <c r="X5"/>
  <c r="U5"/>
  <c r="Q5"/>
  <c r="N5"/>
  <c r="K5"/>
  <c r="H5"/>
  <c r="J2"/>
  <c r="K2"/>
  <c r="I2"/>
  <c r="O3"/>
  <c r="K3" s="1"/>
  <c r="Q35"/>
  <c r="AA38"/>
  <c r="C34"/>
  <c r="Q34" s="1"/>
  <c r="AG22"/>
  <c r="C16"/>
  <c r="U16" s="1"/>
  <c r="C6"/>
  <c r="N6" s="1"/>
  <c r="C20" i="9"/>
  <c r="C19"/>
  <c r="K19" s="1"/>
  <c r="AI25"/>
  <c r="AI27" s="1"/>
  <c r="AH25"/>
  <c r="AG25"/>
  <c r="AF25"/>
  <c r="AE25"/>
  <c r="AD23"/>
  <c r="AD22"/>
  <c r="AD21"/>
  <c r="AD20"/>
  <c r="R20"/>
  <c r="O20"/>
  <c r="K20"/>
  <c r="H20"/>
  <c r="AD19"/>
  <c r="N19"/>
  <c r="H19"/>
  <c r="AH16"/>
  <c r="AG16"/>
  <c r="AF16"/>
  <c r="AE16"/>
  <c r="AD14"/>
  <c r="AD12"/>
  <c r="AD11"/>
  <c r="AD10"/>
  <c r="AD9"/>
  <c r="L9"/>
  <c r="H9"/>
  <c r="AD8"/>
  <c r="Q8"/>
  <c r="N8"/>
  <c r="K8"/>
  <c r="H8"/>
  <c r="U28" i="8"/>
  <c r="AA18"/>
  <c r="X18"/>
  <c r="AF35"/>
  <c r="AG35"/>
  <c r="AI35"/>
  <c r="AE35"/>
  <c r="AD29"/>
  <c r="AD31"/>
  <c r="AD30"/>
  <c r="AD28"/>
  <c r="AD27"/>
  <c r="R28"/>
  <c r="O28"/>
  <c r="K28"/>
  <c r="H28"/>
  <c r="N27"/>
  <c r="K27"/>
  <c r="H27"/>
  <c r="AE33"/>
  <c r="AF33"/>
  <c r="AG33"/>
  <c r="AH33"/>
  <c r="AI33"/>
  <c r="AD23"/>
  <c r="AD22"/>
  <c r="AD21"/>
  <c r="K19"/>
  <c r="H19"/>
  <c r="U18"/>
  <c r="Q18"/>
  <c r="N18"/>
  <c r="K18"/>
  <c r="H18"/>
  <c r="L9"/>
  <c r="AH25"/>
  <c r="AH35" s="1"/>
  <c r="AG25"/>
  <c r="AF25"/>
  <c r="AE25"/>
  <c r="AD20"/>
  <c r="AD19"/>
  <c r="AD18"/>
  <c r="AH15"/>
  <c r="AG15"/>
  <c r="AF15"/>
  <c r="AE15"/>
  <c r="AD13"/>
  <c r="AD12"/>
  <c r="AD11"/>
  <c r="AD10"/>
  <c r="AD9"/>
  <c r="H9"/>
  <c r="AD8"/>
  <c r="T8"/>
  <c r="Q8"/>
  <c r="N8"/>
  <c r="K8"/>
  <c r="H8"/>
  <c r="AD28" i="7"/>
  <c r="V28"/>
  <c r="AH15"/>
  <c r="T8"/>
  <c r="AI33"/>
  <c r="AH33"/>
  <c r="AG33"/>
  <c r="AF33"/>
  <c r="AE33"/>
  <c r="AJ33" s="1"/>
  <c r="AF25"/>
  <c r="AG25"/>
  <c r="AH25"/>
  <c r="AI25"/>
  <c r="AI44" s="1"/>
  <c r="AE25"/>
  <c r="AJ25" s="1"/>
  <c r="AD41"/>
  <c r="AE42"/>
  <c r="AH42"/>
  <c r="AG42"/>
  <c r="AF42"/>
  <c r="H36"/>
  <c r="S35"/>
  <c r="O35"/>
  <c r="K35"/>
  <c r="H35"/>
  <c r="AD27"/>
  <c r="R28"/>
  <c r="N28"/>
  <c r="K28"/>
  <c r="H28"/>
  <c r="R27"/>
  <c r="N27"/>
  <c r="K27"/>
  <c r="H27"/>
  <c r="AD20"/>
  <c r="AD19"/>
  <c r="AD18"/>
  <c r="O19"/>
  <c r="K19"/>
  <c r="H19"/>
  <c r="AA18"/>
  <c r="X18"/>
  <c r="U18"/>
  <c r="Q18"/>
  <c r="N18"/>
  <c r="K18"/>
  <c r="H18"/>
  <c r="AG15"/>
  <c r="AG44" s="1"/>
  <c r="AF15"/>
  <c r="AF44" s="1"/>
  <c r="AE15"/>
  <c r="AE44" s="1"/>
  <c r="AD11"/>
  <c r="AD12"/>
  <c r="AD13"/>
  <c r="AD10"/>
  <c r="AD9"/>
  <c r="AD8"/>
  <c r="H9"/>
  <c r="Q8"/>
  <c r="N8"/>
  <c r="K8"/>
  <c r="H8"/>
  <c r="AH30" i="5"/>
  <c r="AA24"/>
  <c r="AA23"/>
  <c r="U23"/>
  <c r="R23"/>
  <c r="AG30"/>
  <c r="V24"/>
  <c r="S24"/>
  <c r="P24"/>
  <c r="AA5"/>
  <c r="AA11" s="1"/>
  <c r="AD12"/>
  <c r="AD33"/>
  <c r="X5"/>
  <c r="U5"/>
  <c r="AH21"/>
  <c r="AB33"/>
  <c r="O2"/>
  <c r="AG21"/>
  <c r="AC12"/>
  <c r="AB12"/>
  <c r="AA15"/>
  <c r="AA14"/>
  <c r="AA20" s="1"/>
  <c r="AA6"/>
  <c r="H16"/>
  <c r="R5"/>
  <c r="C24"/>
  <c r="H24" s="1"/>
  <c r="C23"/>
  <c r="K23" s="1"/>
  <c r="C15"/>
  <c r="N15" s="1"/>
  <c r="C14"/>
  <c r="R14" s="1"/>
  <c r="C6"/>
  <c r="O6" s="1"/>
  <c r="N5"/>
  <c r="K5"/>
  <c r="H5"/>
  <c r="E20"/>
  <c r="E29"/>
  <c r="E11"/>
  <c r="X20" i="2"/>
  <c r="U38"/>
  <c r="X38"/>
  <c r="R38"/>
  <c r="L40"/>
  <c r="O40"/>
  <c r="I40"/>
  <c r="U20"/>
  <c r="R20"/>
  <c r="O38"/>
  <c r="L38"/>
  <c r="I20"/>
  <c r="O20"/>
  <c r="L20"/>
  <c r="I17"/>
  <c r="C24"/>
  <c r="F35"/>
  <c r="F34"/>
  <c r="G34" s="1"/>
  <c r="X35"/>
  <c r="X39" s="1"/>
  <c r="U35"/>
  <c r="U39" s="1"/>
  <c r="U40" s="1"/>
  <c r="R35"/>
  <c r="O35"/>
  <c r="L35"/>
  <c r="I35"/>
  <c r="X34"/>
  <c r="Y34" s="1"/>
  <c r="U34"/>
  <c r="V34" s="1"/>
  <c r="R34"/>
  <c r="S34" s="1"/>
  <c r="O34"/>
  <c r="P34" s="1"/>
  <c r="L34"/>
  <c r="M34" s="1"/>
  <c r="I34"/>
  <c r="J34" s="1"/>
  <c r="X17"/>
  <c r="C19" s="1"/>
  <c r="U17"/>
  <c r="R17"/>
  <c r="O17"/>
  <c r="L17"/>
  <c r="X16"/>
  <c r="Y16" s="1"/>
  <c r="U16"/>
  <c r="V16" s="1"/>
  <c r="R16"/>
  <c r="S16" s="1"/>
  <c r="O16"/>
  <c r="P16" s="1"/>
  <c r="L16"/>
  <c r="M16" s="1"/>
  <c r="I16"/>
  <c r="J16" s="1"/>
  <c r="AK47" i="13" l="1"/>
  <c r="AK45"/>
  <c r="AD36" i="12"/>
  <c r="AJ35"/>
  <c r="AK35" s="1"/>
  <c r="I3" i="11"/>
  <c r="AG30"/>
  <c r="AH30" s="1"/>
  <c r="AH22" i="10"/>
  <c r="AG39"/>
  <c r="H15"/>
  <c r="AE42"/>
  <c r="AC42"/>
  <c r="X16"/>
  <c r="AB42"/>
  <c r="AD42"/>
  <c r="X17"/>
  <c r="AH39"/>
  <c r="J3" i="11"/>
  <c r="I3" i="10"/>
  <c r="J3"/>
  <c r="K6"/>
  <c r="R6"/>
  <c r="N15"/>
  <c r="K16"/>
  <c r="R16"/>
  <c r="AA21"/>
  <c r="H35"/>
  <c r="N35"/>
  <c r="H6"/>
  <c r="AA12"/>
  <c r="H16"/>
  <c r="N16"/>
  <c r="K35"/>
  <c r="AG13"/>
  <c r="AH13" s="1"/>
  <c r="H34"/>
  <c r="N34"/>
  <c r="K34"/>
  <c r="AD15" i="9"/>
  <c r="AD24"/>
  <c r="AF27"/>
  <c r="AH27"/>
  <c r="AG27"/>
  <c r="AE27"/>
  <c r="AJ16"/>
  <c r="AK16" s="1"/>
  <c r="AJ25"/>
  <c r="AK25" s="1"/>
  <c r="AJ33" i="8"/>
  <c r="AK33" s="1"/>
  <c r="AD32"/>
  <c r="AD14"/>
  <c r="AD24"/>
  <c r="AJ25"/>
  <c r="AJ15"/>
  <c r="AK15" s="1"/>
  <c r="AH44" i="7"/>
  <c r="AD24"/>
  <c r="AK25"/>
  <c r="AK33"/>
  <c r="AJ42"/>
  <c r="AK42" s="1"/>
  <c r="AD32"/>
  <c r="AD14"/>
  <c r="AJ15"/>
  <c r="AK15" s="1"/>
  <c r="AA29" i="5"/>
  <c r="AA32" s="1"/>
  <c r="AG12"/>
  <c r="AH12" s="1"/>
  <c r="AC33"/>
  <c r="AG33" s="1"/>
  <c r="AH33" s="1"/>
  <c r="R15"/>
  <c r="H6"/>
  <c r="K15"/>
  <c r="K6"/>
  <c r="K14"/>
  <c r="H15"/>
  <c r="H23"/>
  <c r="O23"/>
  <c r="L24"/>
  <c r="H14"/>
  <c r="N14"/>
  <c r="R39" i="2"/>
  <c r="R40" s="1"/>
  <c r="L21"/>
  <c r="U21"/>
  <c r="O21"/>
  <c r="I21"/>
  <c r="X21"/>
  <c r="X40" s="1"/>
  <c r="R21"/>
  <c r="C37"/>
  <c r="C18"/>
  <c r="C36"/>
  <c r="F24"/>
  <c r="I24" s="1"/>
  <c r="L24" s="1"/>
  <c r="O24" s="1"/>
  <c r="R24" s="1"/>
  <c r="U24" s="1"/>
  <c r="X24" s="1"/>
  <c r="P27"/>
  <c r="O27"/>
  <c r="M27"/>
  <c r="N27"/>
  <c r="L27"/>
  <c r="L39" s="1"/>
  <c r="J27"/>
  <c r="K27"/>
  <c r="I27"/>
  <c r="G27"/>
  <c r="H27"/>
  <c r="F27"/>
  <c r="H26"/>
  <c r="K26"/>
  <c r="N26" s="1"/>
  <c r="Q26" s="1"/>
  <c r="T26" s="1"/>
  <c r="W26" s="1"/>
  <c r="Z26" s="1"/>
  <c r="G26"/>
  <c r="J26" s="1"/>
  <c r="M26" s="1"/>
  <c r="P26" s="1"/>
  <c r="S26" s="1"/>
  <c r="V26" s="1"/>
  <c r="Y26" s="1"/>
  <c r="H25"/>
  <c r="K25" s="1"/>
  <c r="N25" s="1"/>
  <c r="Q25" s="1"/>
  <c r="T25" s="1"/>
  <c r="W25" s="1"/>
  <c r="Z25" s="1"/>
  <c r="G25"/>
  <c r="J25" s="1"/>
  <c r="M25" s="1"/>
  <c r="P25" s="1"/>
  <c r="S25" s="1"/>
  <c r="V25" s="1"/>
  <c r="Y25" s="1"/>
  <c r="F5"/>
  <c r="I5" s="1"/>
  <c r="L5" s="1"/>
  <c r="G73"/>
  <c r="H73" s="1"/>
  <c r="G74"/>
  <c r="H74" s="1"/>
  <c r="G75"/>
  <c r="H75" s="1"/>
  <c r="G76"/>
  <c r="H76" s="1"/>
  <c r="G77"/>
  <c r="H77" s="1"/>
  <c r="G78"/>
  <c r="H78" s="1"/>
  <c r="G79"/>
  <c r="H79" s="1"/>
  <c r="F74"/>
  <c r="F75"/>
  <c r="F76"/>
  <c r="F77"/>
  <c r="F78"/>
  <c r="F79"/>
  <c r="F73"/>
  <c r="G59"/>
  <c r="H59" s="1"/>
  <c r="G60"/>
  <c r="H60" s="1"/>
  <c r="G61"/>
  <c r="H61" s="1"/>
  <c r="G62"/>
  <c r="H62" s="1"/>
  <c r="G63"/>
  <c r="H63" s="1"/>
  <c r="G64"/>
  <c r="H64" s="1"/>
  <c r="G65"/>
  <c r="H65" s="1"/>
  <c r="G46"/>
  <c r="H46" s="1"/>
  <c r="G47"/>
  <c r="H47" s="1"/>
  <c r="G48"/>
  <c r="H48" s="1"/>
  <c r="G49"/>
  <c r="H49" s="1"/>
  <c r="G50"/>
  <c r="H50" s="1"/>
  <c r="G51"/>
  <c r="H51" s="1"/>
  <c r="G52"/>
  <c r="H52" s="1"/>
  <c r="C72"/>
  <c r="C82" s="1"/>
  <c r="D72"/>
  <c r="E72"/>
  <c r="C58"/>
  <c r="E58"/>
  <c r="G58" s="1"/>
  <c r="H58" s="1"/>
  <c r="B72"/>
  <c r="B73" s="1"/>
  <c r="B74" s="1"/>
  <c r="B75" s="1"/>
  <c r="B76" s="1"/>
  <c r="B77" s="1"/>
  <c r="B78" s="1"/>
  <c r="B79" s="1"/>
  <c r="B58"/>
  <c r="B59" s="1"/>
  <c r="B60" s="1"/>
  <c r="B61" s="1"/>
  <c r="B62" s="1"/>
  <c r="B63" s="1"/>
  <c r="B64" s="1"/>
  <c r="B65" s="1"/>
  <c r="C45"/>
  <c r="D45"/>
  <c r="E45"/>
  <c r="B45"/>
  <c r="B46" s="1"/>
  <c r="B47" s="1"/>
  <c r="B48" s="1"/>
  <c r="B49" s="1"/>
  <c r="B50" s="1"/>
  <c r="B51" s="1"/>
  <c r="B52" s="1"/>
  <c r="AA41" i="10" l="1"/>
  <c r="AG42"/>
  <c r="AH42" s="1"/>
  <c r="AD28" i="9"/>
  <c r="AJ27"/>
  <c r="AK27" s="1"/>
  <c r="AD36" i="8"/>
  <c r="AK25"/>
  <c r="AJ35"/>
  <c r="AK35" s="1"/>
  <c r="AD45" i="7"/>
  <c r="AJ44"/>
  <c r="AK44" s="1"/>
  <c r="O39" i="2"/>
  <c r="I38"/>
  <c r="I39" s="1"/>
  <c r="G45"/>
  <c r="G72"/>
  <c r="H72" s="1"/>
  <c r="H45"/>
  <c r="F72"/>
  <c r="O5"/>
  <c r="R5" l="1"/>
  <c r="U5" l="1"/>
  <c r="X5" l="1"/>
</calcChain>
</file>

<file path=xl/sharedStrings.xml><?xml version="1.0" encoding="utf-8"?>
<sst xmlns="http://schemas.openxmlformats.org/spreadsheetml/2006/main" count="527" uniqueCount="126">
  <si>
    <t>Спортсмен</t>
  </si>
  <si>
    <t>Дмитрий Головинский</t>
  </si>
  <si>
    <t>Цели</t>
  </si>
  <si>
    <t>май</t>
  </si>
  <si>
    <t>июнь</t>
  </si>
  <si>
    <t>июль</t>
  </si>
  <si>
    <t>август</t>
  </si>
  <si>
    <t>сентябрь</t>
  </si>
  <si>
    <t>октябрь</t>
  </si>
  <si>
    <t>Совершенствование скорости</t>
  </si>
  <si>
    <t>Сила</t>
  </si>
  <si>
    <t>Выход на пик</t>
  </si>
  <si>
    <t>КУРС</t>
  </si>
  <si>
    <t>Жим лежа</t>
  </si>
  <si>
    <t>Синглы</t>
  </si>
  <si>
    <t>Трицепс на бл.</t>
  </si>
  <si>
    <t>Пятница</t>
  </si>
  <si>
    <t>Присед</t>
  </si>
  <si>
    <t>Взр. отж.</t>
  </si>
  <si>
    <t>Жим лежа с цеп.</t>
  </si>
  <si>
    <t>Бицепс стоя</t>
  </si>
  <si>
    <t>Бицепс с гант</t>
  </si>
  <si>
    <t>Жим в раме</t>
  </si>
  <si>
    <t>8 недель</t>
  </si>
  <si>
    <t>ПМ</t>
  </si>
  <si>
    <t>Тоннаж</t>
  </si>
  <si>
    <t>КПШ</t>
  </si>
  <si>
    <t>П</t>
  </si>
  <si>
    <t>С</t>
  </si>
  <si>
    <t>В</t>
  </si>
  <si>
    <t>%</t>
  </si>
  <si>
    <t>Вторник</t>
  </si>
  <si>
    <t>Трицепс на блоке</t>
  </si>
  <si>
    <t>Жим-разводка</t>
  </si>
  <si>
    <t>№</t>
  </si>
  <si>
    <t>СР ВЕС</t>
  </si>
  <si>
    <t>Бицепс чистый</t>
  </si>
  <si>
    <t>Бицепс на ск.</t>
  </si>
  <si>
    <t>№ п/п</t>
  </si>
  <si>
    <t>Р(т)</t>
  </si>
  <si>
    <t>Р(и)</t>
  </si>
  <si>
    <t>ИНТ (вт)</t>
  </si>
  <si>
    <t>ИНТ (пт)</t>
  </si>
  <si>
    <t>Прогрессия интенсивности и тоннажа в подъеме на бицепс</t>
  </si>
  <si>
    <t>УПР</t>
  </si>
  <si>
    <t>Расчет тоннажа в жиме лежа и специальных вспомогательных упражнениях</t>
  </si>
  <si>
    <t>Жимовой тоннаж по тренировочным дням</t>
  </si>
  <si>
    <t>Тоннаж (б-вт)</t>
  </si>
  <si>
    <t>Тоннаж (ж-вт)</t>
  </si>
  <si>
    <t>Тоннаж (б-пт)</t>
  </si>
  <si>
    <t>Тоннаж (ж-пт)</t>
  </si>
  <si>
    <t>Тоннаж (общ-в)</t>
  </si>
  <si>
    <t>Тоннаж (общ-пт)</t>
  </si>
  <si>
    <t>Общий тоннаж</t>
  </si>
  <si>
    <t>Подъем гантели</t>
  </si>
  <si>
    <t>Подъем гант.</t>
  </si>
  <si>
    <t>Жим с паузой 2 сек</t>
  </si>
  <si>
    <t>За неделю</t>
  </si>
  <si>
    <t>C 03.06 Testover P.</t>
  </si>
  <si>
    <t>500 мг/нед</t>
  </si>
  <si>
    <t>Олежка, привет!</t>
  </si>
  <si>
    <t>Силовой макроцикл</t>
  </si>
  <si>
    <t>Понедельник</t>
  </si>
  <si>
    <t>Среда</t>
  </si>
  <si>
    <t>Жим с паузой</t>
  </si>
  <si>
    <t>Жим в раме с нижней точки</t>
  </si>
  <si>
    <t>Подъем гантели перед собой</t>
  </si>
  <si>
    <t>Дожим с 10 см</t>
  </si>
  <si>
    <t>Жим с цепями</t>
  </si>
  <si>
    <t>Бицепс сидя</t>
  </si>
  <si>
    <t>Дожим с 5 см</t>
  </si>
  <si>
    <t>Грудь в тренажере</t>
  </si>
  <si>
    <t>50-60</t>
  </si>
  <si>
    <t>60-70</t>
  </si>
  <si>
    <t>70-80</t>
  </si>
  <si>
    <t>80-90</t>
  </si>
  <si>
    <t>90-100</t>
  </si>
  <si>
    <t>УОИ</t>
  </si>
  <si>
    <t>Дека - 250</t>
  </si>
  <si>
    <t>Энантат</t>
  </si>
  <si>
    <t>Пропионат</t>
  </si>
  <si>
    <t>Кисть стоя</t>
  </si>
  <si>
    <t>Кисть на блоке</t>
  </si>
  <si>
    <t>ПН</t>
  </si>
  <si>
    <t>ВТ</t>
  </si>
  <si>
    <t>СР</t>
  </si>
  <si>
    <t>26 июля</t>
  </si>
  <si>
    <t>ЕВРОАЗИЯ GPF, КИЕВ</t>
  </si>
  <si>
    <t>28 сентября</t>
  </si>
  <si>
    <t>Кубок Украины по жиму и подъему на бицепс, Одеса</t>
  </si>
  <si>
    <t>ЧТ</t>
  </si>
  <si>
    <t>ПТ</t>
  </si>
  <si>
    <t>I неделя</t>
  </si>
  <si>
    <t>II неделя</t>
  </si>
  <si>
    <t>Пв</t>
  </si>
  <si>
    <t>Пб</t>
  </si>
  <si>
    <t>Жим лежа с паузой</t>
  </si>
  <si>
    <t>Жим в раме с нижн.</t>
  </si>
  <si>
    <t>Четверг</t>
  </si>
  <si>
    <t>Жим лежа с цепями</t>
  </si>
  <si>
    <t>Разгибания с гантелью</t>
  </si>
  <si>
    <t>Суббота</t>
  </si>
  <si>
    <t>Бицепс с гантелью</t>
  </si>
  <si>
    <t>Бицепс с гантелей</t>
  </si>
  <si>
    <t>Кисть сидя</t>
  </si>
  <si>
    <t>Бицепс на скамье</t>
  </si>
  <si>
    <t>III неделя</t>
  </si>
  <si>
    <t>IVнеделя</t>
  </si>
  <si>
    <t>Силовой макроцикл (фаза B)</t>
  </si>
  <si>
    <t>Бицепс c гант.</t>
  </si>
  <si>
    <t>Бицепс на Скотте</t>
  </si>
  <si>
    <t>Кисть с гантелью</t>
  </si>
  <si>
    <t>Тестовер Р 500</t>
  </si>
  <si>
    <t>Напосим 60 + Тестовер Е 750+ Декавер 250</t>
  </si>
  <si>
    <t>Болденон 800 + Тестовер Е 1000 +Декавер 250</t>
  </si>
  <si>
    <t>Понедельник (ОФП)</t>
  </si>
  <si>
    <t>Бицепс частичный</t>
  </si>
  <si>
    <t>Кисть с гантелей</t>
  </si>
  <si>
    <t>Суббота (ОФП + бицепс)</t>
  </si>
  <si>
    <t>Пятница (ОФП+жим)</t>
  </si>
  <si>
    <t>Бицепс част</t>
  </si>
  <si>
    <t>Бицепс частичны</t>
  </si>
  <si>
    <t>Кисть с гантелью сидя</t>
  </si>
  <si>
    <t>К</t>
  </si>
  <si>
    <t>Бицепс на скотте</t>
  </si>
  <si>
    <t>Силовой макроцикл (фаза А)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</si>
</sst>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0" fillId="4" borderId="0" xfId="0" applyFill="1"/>
    <xf numFmtId="0" fontId="2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3" xfId="0" applyBorder="1"/>
    <xf numFmtId="0" fontId="0" fillId="0" borderId="14" xfId="0" applyBorder="1"/>
    <xf numFmtId="0" fontId="0" fillId="5" borderId="1" xfId="0" applyFill="1" applyBorder="1" applyAlignment="1">
      <alignment vertical="top"/>
    </xf>
    <xf numFmtId="0" fontId="0" fillId="5" borderId="1" xfId="0" applyFill="1" applyBorder="1"/>
    <xf numFmtId="0" fontId="0" fillId="5" borderId="5" xfId="0" applyFill="1" applyBorder="1"/>
    <xf numFmtId="0" fontId="0" fillId="5" borderId="8" xfId="0" applyFill="1" applyBorder="1" applyAlignment="1">
      <alignment horizontal="right" vertical="top"/>
    </xf>
    <xf numFmtId="0" fontId="0" fillId="5" borderId="4" xfId="0" applyFill="1" applyBorder="1"/>
    <xf numFmtId="0" fontId="0" fillId="0" borderId="19" xfId="0" applyBorder="1"/>
    <xf numFmtId="0" fontId="0" fillId="5" borderId="19" xfId="0" applyFill="1" applyBorder="1"/>
    <xf numFmtId="0" fontId="0" fillId="0" borderId="0" xfId="0" applyFill="1"/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5" borderId="4" xfId="0" applyFill="1" applyBorder="1" applyAlignment="1">
      <alignment vertical="top"/>
    </xf>
    <xf numFmtId="0" fontId="0" fillId="0" borderId="0" xfId="0" applyFill="1" applyBorder="1"/>
    <xf numFmtId="0" fontId="0" fillId="0" borderId="12" xfId="0" applyBorder="1"/>
    <xf numFmtId="0" fontId="0" fillId="0" borderId="29" xfId="0" applyBorder="1"/>
    <xf numFmtId="0" fontId="0" fillId="0" borderId="30" xfId="0" applyBorder="1"/>
    <xf numFmtId="0" fontId="0" fillId="0" borderId="13" xfId="0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11" borderId="6" xfId="0" applyFill="1" applyBorder="1"/>
    <xf numFmtId="0" fontId="0" fillId="11" borderId="2" xfId="0" applyFill="1" applyBorder="1"/>
    <xf numFmtId="0" fontId="0" fillId="11" borderId="2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9" fontId="0" fillId="0" borderId="0" xfId="1" applyFont="1" applyBorder="1"/>
    <xf numFmtId="0" fontId="0" fillId="11" borderId="8" xfId="0" applyFill="1" applyBorder="1"/>
    <xf numFmtId="0" fontId="0" fillId="11" borderId="3" xfId="0" applyFill="1" applyBorder="1"/>
    <xf numFmtId="0" fontId="0" fillId="11" borderId="18" xfId="0" applyFill="1" applyBorder="1"/>
    <xf numFmtId="0" fontId="0" fillId="11" borderId="14" xfId="0" applyFill="1" applyBorder="1"/>
    <xf numFmtId="0" fontId="0" fillId="11" borderId="20" xfId="0" applyFill="1" applyBorder="1"/>
    <xf numFmtId="0" fontId="0" fillId="9" borderId="31" xfId="0" applyFill="1" applyBorder="1"/>
    <xf numFmtId="0" fontId="0" fillId="9" borderId="32" xfId="0" applyFill="1" applyBorder="1"/>
    <xf numFmtId="0" fontId="0" fillId="9" borderId="33" xfId="0" applyFill="1" applyBorder="1"/>
    <xf numFmtId="9" fontId="3" fillId="3" borderId="17" xfId="1" applyFont="1" applyFill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9" fontId="0" fillId="0" borderId="1" xfId="1" applyFont="1" applyBorder="1"/>
    <xf numFmtId="0" fontId="0" fillId="2" borderId="1" xfId="0" applyFill="1" applyBorder="1"/>
    <xf numFmtId="9" fontId="0" fillId="2" borderId="1" xfId="1" applyFont="1" applyFill="1" applyBorder="1"/>
    <xf numFmtId="0" fontId="0" fillId="0" borderId="34" xfId="0" applyBorder="1"/>
    <xf numFmtId="0" fontId="0" fillId="0" borderId="29" xfId="0" applyFill="1" applyBorder="1"/>
    <xf numFmtId="9" fontId="0" fillId="0" borderId="29" xfId="1" applyFont="1" applyBorder="1"/>
    <xf numFmtId="9" fontId="0" fillId="0" borderId="25" xfId="1" applyFont="1" applyBorder="1"/>
    <xf numFmtId="9" fontId="0" fillId="3" borderId="25" xfId="1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8" borderId="0" xfId="0" applyFill="1" applyBorder="1"/>
    <xf numFmtId="0" fontId="4" fillId="0" borderId="4" xfId="0" applyFont="1" applyFill="1" applyBorder="1"/>
    <xf numFmtId="0" fontId="0" fillId="0" borderId="35" xfId="0" applyBorder="1"/>
    <xf numFmtId="0" fontId="0" fillId="13" borderId="0" xfId="0" applyFill="1" applyBorder="1"/>
    <xf numFmtId="9" fontId="0" fillId="13" borderId="0" xfId="1" applyFont="1" applyFill="1" applyBorder="1"/>
    <xf numFmtId="0" fontId="7" fillId="4" borderId="0" xfId="0" applyFont="1" applyFill="1"/>
    <xf numFmtId="0" fontId="7" fillId="4" borderId="0" xfId="0" applyFont="1" applyFill="1" applyBorder="1"/>
    <xf numFmtId="0" fontId="7" fillId="4" borderId="26" xfId="0" applyFont="1" applyFill="1" applyBorder="1"/>
    <xf numFmtId="9" fontId="7" fillId="4" borderId="0" xfId="1" applyFont="1" applyFill="1" applyBorder="1"/>
    <xf numFmtId="0" fontId="0" fillId="0" borderId="18" xfId="0" applyBorder="1"/>
    <xf numFmtId="0" fontId="0" fillId="5" borderId="18" xfId="0" applyFill="1" applyBorder="1" applyAlignment="1">
      <alignment horizontal="left" vertical="top"/>
    </xf>
    <xf numFmtId="0" fontId="0" fillId="11" borderId="36" xfId="0" applyFill="1" applyBorder="1"/>
    <xf numFmtId="0" fontId="0" fillId="0" borderId="0" xfId="0" applyAlignment="1"/>
    <xf numFmtId="0" fontId="0" fillId="0" borderId="1" xfId="0" applyBorder="1" applyAlignment="1"/>
    <xf numFmtId="0" fontId="0" fillId="9" borderId="13" xfId="0" applyFill="1" applyBorder="1"/>
    <xf numFmtId="0" fontId="0" fillId="9" borderId="27" xfId="0" applyFill="1" applyBorder="1"/>
    <xf numFmtId="0" fontId="0" fillId="9" borderId="30" xfId="0" applyFill="1" applyBorder="1"/>
    <xf numFmtId="0" fontId="0" fillId="0" borderId="4" xfId="0" applyBorder="1" applyAlignment="1"/>
    <xf numFmtId="0" fontId="0" fillId="0" borderId="5" xfId="0" applyBorder="1" applyAlignment="1"/>
    <xf numFmtId="9" fontId="1" fillId="0" borderId="17" xfId="1" applyFont="1" applyFill="1" applyBorder="1"/>
    <xf numFmtId="0" fontId="6" fillId="0" borderId="0" xfId="0" applyFont="1" applyAlignment="1"/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4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9" xfId="0" applyFill="1" applyBorder="1"/>
    <xf numFmtId="0" fontId="7" fillId="4" borderId="15" xfId="0" applyFont="1" applyFill="1" applyBorder="1" applyAlignment="1"/>
    <xf numFmtId="0" fontId="7" fillId="4" borderId="16" xfId="0" applyFont="1" applyFill="1" applyBorder="1" applyAlignment="1"/>
    <xf numFmtId="0" fontId="7" fillId="4" borderId="17" xfId="0" applyFont="1" applyFill="1" applyBorder="1" applyAlignment="1"/>
    <xf numFmtId="0" fontId="0" fillId="10" borderId="8" xfId="0" applyFill="1" applyBorder="1"/>
    <xf numFmtId="0" fontId="0" fillId="10" borderId="6" xfId="0" applyFill="1" applyBorder="1"/>
    <xf numFmtId="0" fontId="0" fillId="0" borderId="0" xfId="0" applyBorder="1" applyAlignment="1"/>
    <xf numFmtId="0" fontId="0" fillId="2" borderId="2" xfId="0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2" borderId="19" xfId="0" applyFill="1" applyBorder="1"/>
    <xf numFmtId="0" fontId="0" fillId="7" borderId="19" xfId="0" applyFill="1" applyBorder="1"/>
    <xf numFmtId="9" fontId="0" fillId="0" borderId="0" xfId="1" applyFont="1" applyFill="1" applyBorder="1"/>
    <xf numFmtId="0" fontId="0" fillId="0" borderId="42" xfId="0" applyFill="1" applyBorder="1"/>
    <xf numFmtId="0" fontId="0" fillId="0" borderId="22" xfId="0" applyFill="1" applyBorder="1"/>
    <xf numFmtId="0" fontId="0" fillId="13" borderId="19" xfId="0" applyFill="1" applyBorder="1"/>
    <xf numFmtId="164" fontId="0" fillId="0" borderId="0" xfId="0" applyNumberFormat="1" applyFill="1" applyBorder="1" applyAlignment="1">
      <alignment horizontal="left" indent="1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164" fontId="0" fillId="0" borderId="0" xfId="0" applyNumberFormat="1" applyFill="1" applyBorder="1"/>
    <xf numFmtId="0" fontId="0" fillId="0" borderId="43" xfId="0" applyFill="1" applyBorder="1"/>
    <xf numFmtId="0" fontId="0" fillId="0" borderId="44" xfId="0" applyBorder="1" applyAlignment="1"/>
    <xf numFmtId="0" fontId="0" fillId="0" borderId="16" xfId="0" applyBorder="1" applyAlignment="1"/>
    <xf numFmtId="0" fontId="0" fillId="0" borderId="45" xfId="0" applyBorder="1" applyAlignment="1"/>
    <xf numFmtId="0" fontId="0" fillId="0" borderId="43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27" xfId="0" applyFill="1" applyBorder="1"/>
    <xf numFmtId="0" fontId="0" fillId="0" borderId="0" xfId="1" applyNumberFormat="1" applyFont="1" applyFill="1" applyBorder="1"/>
    <xf numFmtId="0" fontId="0" fillId="0" borderId="27" xfId="0" applyNumberFormat="1" applyFill="1" applyBorder="1"/>
    <xf numFmtId="165" fontId="0" fillId="4" borderId="17" xfId="1" applyNumberFormat="1" applyFont="1" applyFill="1" applyBorder="1"/>
    <xf numFmtId="165" fontId="0" fillId="0" borderId="0" xfId="1" applyNumberFormat="1" applyFont="1" applyBorder="1"/>
    <xf numFmtId="0" fontId="7" fillId="3" borderId="15" xfId="0" applyFont="1" applyFill="1" applyBorder="1"/>
    <xf numFmtId="9" fontId="7" fillId="3" borderId="17" xfId="1" applyFont="1" applyFill="1" applyBorder="1"/>
    <xf numFmtId="0" fontId="7" fillId="2" borderId="29" xfId="0" applyFont="1" applyFill="1" applyBorder="1"/>
    <xf numFmtId="0" fontId="7" fillId="2" borderId="16" xfId="0" applyFont="1" applyFill="1" applyBorder="1"/>
    <xf numFmtId="10" fontId="0" fillId="4" borderId="17" xfId="1" applyNumberFormat="1" applyFont="1" applyFill="1" applyBorder="1"/>
    <xf numFmtId="0" fontId="0" fillId="6" borderId="25" xfId="0" applyFill="1" applyBorder="1"/>
    <xf numFmtId="0" fontId="0" fillId="7" borderId="1" xfId="0" applyFill="1" applyBorder="1"/>
    <xf numFmtId="0" fontId="0" fillId="13" borderId="1" xfId="0" applyFill="1" applyBorder="1"/>
    <xf numFmtId="0" fontId="0" fillId="11" borderId="25" xfId="0" applyFill="1" applyBorder="1"/>
    <xf numFmtId="10" fontId="0" fillId="13" borderId="17" xfId="1" applyNumberFormat="1" applyFont="1" applyFill="1" applyBorder="1"/>
    <xf numFmtId="0" fontId="0" fillId="13" borderId="10" xfId="0" applyFill="1" applyBorder="1"/>
    <xf numFmtId="9" fontId="0" fillId="4" borderId="17" xfId="1" applyFont="1" applyFill="1" applyBorder="1"/>
    <xf numFmtId="0" fontId="0" fillId="13" borderId="16" xfId="0" applyFill="1" applyBorder="1"/>
    <xf numFmtId="0" fontId="0" fillId="0" borderId="29" xfId="0" applyFont="1" applyFill="1" applyBorder="1"/>
    <xf numFmtId="0" fontId="0" fillId="0" borderId="16" xfId="0" applyFont="1" applyFill="1" applyBorder="1"/>
    <xf numFmtId="9" fontId="0" fillId="4" borderId="17" xfId="1" applyNumberFormat="1" applyFont="1" applyFill="1" applyBorder="1"/>
    <xf numFmtId="1" fontId="0" fillId="0" borderId="0" xfId="1" applyNumberFormat="1" applyFont="1" applyBorder="1"/>
    <xf numFmtId="0" fontId="0" fillId="3" borderId="0" xfId="0" applyFill="1"/>
    <xf numFmtId="0" fontId="0" fillId="0" borderId="0" xfId="1" applyNumberFormat="1" applyFont="1" applyBorder="1"/>
    <xf numFmtId="0" fontId="7" fillId="2" borderId="30" xfId="0" applyFont="1" applyFill="1" applyBorder="1"/>
    <xf numFmtId="0" fontId="7" fillId="2" borderId="17" xfId="0" applyFont="1" applyFill="1" applyBorder="1"/>
    <xf numFmtId="9" fontId="0" fillId="0" borderId="0" xfId="1" applyNumberFormat="1" applyFont="1" applyBorder="1"/>
    <xf numFmtId="0" fontId="7" fillId="2" borderId="15" xfId="0" applyFont="1" applyFill="1" applyBorder="1"/>
    <xf numFmtId="0" fontId="7" fillId="2" borderId="34" xfId="0" applyFont="1" applyFill="1" applyBorder="1"/>
    <xf numFmtId="0" fontId="0" fillId="0" borderId="0" xfId="0" applyNumberFormat="1" applyFill="1" applyBorder="1" applyAlignment="1">
      <alignment horizontal="left" indent="1"/>
    </xf>
    <xf numFmtId="0" fontId="0" fillId="0" borderId="46" xfId="0" applyBorder="1"/>
    <xf numFmtId="0" fontId="0" fillId="0" borderId="47" xfId="0" applyBorder="1"/>
    <xf numFmtId="0" fontId="0" fillId="0" borderId="48" xfId="0" applyBorder="1" applyAlignment="1"/>
    <xf numFmtId="0" fontId="0" fillId="7" borderId="49" xfId="0" applyFill="1" applyBorder="1"/>
    <xf numFmtId="0" fontId="0" fillId="0" borderId="50" xfId="0" applyFill="1" applyBorder="1"/>
    <xf numFmtId="9" fontId="0" fillId="0" borderId="12" xfId="1" applyFont="1" applyFill="1" applyBorder="1"/>
    <xf numFmtId="0" fontId="0" fillId="0" borderId="12" xfId="0" applyFill="1" applyBorder="1"/>
    <xf numFmtId="165" fontId="0" fillId="0" borderId="12" xfId="1" applyNumberFormat="1" applyFont="1" applyFill="1" applyBorder="1"/>
    <xf numFmtId="0" fontId="0" fillId="0" borderId="12" xfId="2" applyNumberFormat="1" applyFont="1" applyFill="1" applyBorder="1"/>
    <xf numFmtId="0" fontId="0" fillId="0" borderId="12" xfId="1" applyNumberFormat="1" applyFont="1" applyFill="1" applyBorder="1"/>
    <xf numFmtId="0" fontId="0" fillId="0" borderId="13" xfId="0" applyNumberFormat="1" applyFill="1" applyBorder="1"/>
    <xf numFmtId="0" fontId="4" fillId="4" borderId="20" xfId="0" applyFont="1" applyFill="1" applyBorder="1"/>
    <xf numFmtId="0" fontId="4" fillId="0" borderId="41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2" fillId="14" borderId="19" xfId="0" applyFont="1" applyFill="1" applyBorder="1"/>
    <xf numFmtId="0" fontId="0" fillId="14" borderId="4" xfId="0" applyFill="1" applyBorder="1"/>
    <xf numFmtId="0" fontId="0" fillId="14" borderId="1" xfId="0" applyFill="1" applyBorder="1"/>
    <xf numFmtId="0" fontId="2" fillId="14" borderId="4" xfId="0" applyFont="1" applyFill="1" applyBorder="1"/>
    <xf numFmtId="0" fontId="2" fillId="14" borderId="1" xfId="0" applyFont="1" applyFill="1" applyBorder="1"/>
    <xf numFmtId="0" fontId="0" fillId="3" borderId="4" xfId="0" applyFill="1" applyBorder="1"/>
    <xf numFmtId="0" fontId="0" fillId="5" borderId="0" xfId="0" applyFill="1"/>
    <xf numFmtId="0" fontId="0" fillId="16" borderId="0" xfId="0" applyFill="1"/>
    <xf numFmtId="0" fontId="4" fillId="15" borderId="19" xfId="0" applyFont="1" applyFill="1" applyBorder="1"/>
    <xf numFmtId="0" fontId="4" fillId="15" borderId="22" xfId="0" applyFont="1" applyFill="1" applyBorder="1"/>
    <xf numFmtId="0" fontId="4" fillId="15" borderId="4" xfId="0" applyFont="1" applyFill="1" applyBorder="1"/>
    <xf numFmtId="0" fontId="4" fillId="15" borderId="1" xfId="0" applyFont="1" applyFill="1" applyBorder="1"/>
    <xf numFmtId="0" fontId="4" fillId="15" borderId="5" xfId="0" applyFont="1" applyFill="1" applyBorder="1"/>
    <xf numFmtId="0" fontId="4" fillId="15" borderId="20" xfId="0" applyFont="1" applyFill="1" applyBorder="1"/>
    <xf numFmtId="0" fontId="4" fillId="15" borderId="41" xfId="0" applyFont="1" applyFill="1" applyBorder="1"/>
    <xf numFmtId="0" fontId="4" fillId="15" borderId="9" xfId="0" applyFont="1" applyFill="1" applyBorder="1"/>
    <xf numFmtId="0" fontId="4" fillId="15" borderId="10" xfId="0" applyFont="1" applyFill="1" applyBorder="1"/>
    <xf numFmtId="0" fontId="4" fillId="15" borderId="11" xfId="0" applyFont="1" applyFill="1" applyBorder="1"/>
    <xf numFmtId="0" fontId="0" fillId="2" borderId="0" xfId="0" applyFill="1"/>
    <xf numFmtId="0" fontId="0" fillId="0" borderId="15" xfId="0" applyFont="1" applyFill="1" applyBorder="1"/>
    <xf numFmtId="0" fontId="0" fillId="0" borderId="34" xfId="0" applyFont="1" applyFill="1" applyBorder="1"/>
    <xf numFmtId="165" fontId="0" fillId="0" borderId="0" xfId="1" applyNumberFormat="1" applyFont="1" applyFill="1" applyBorder="1"/>
    <xf numFmtId="0" fontId="7" fillId="3" borderId="16" xfId="0" applyFont="1" applyFill="1" applyBorder="1"/>
    <xf numFmtId="0" fontId="0" fillId="7" borderId="4" xfId="0" applyFill="1" applyBorder="1"/>
    <xf numFmtId="0" fontId="0" fillId="7" borderId="0" xfId="0" applyFill="1"/>
    <xf numFmtId="0" fontId="0" fillId="2" borderId="4" xfId="0" applyFill="1" applyBorder="1"/>
    <xf numFmtId="0" fontId="0" fillId="4" borderId="19" xfId="0" applyFill="1" applyBorder="1"/>
    <xf numFmtId="0" fontId="0" fillId="0" borderId="24" xfId="0" applyBorder="1"/>
    <xf numFmtId="0" fontId="8" fillId="0" borderId="4" xfId="0" applyFont="1" applyBorder="1"/>
    <xf numFmtId="0" fontId="0" fillId="0" borderId="24" xfId="0" applyFill="1" applyBorder="1"/>
    <xf numFmtId="165" fontId="0" fillId="0" borderId="0" xfId="1" applyNumberFormat="1" applyFont="1"/>
    <xf numFmtId="0" fontId="0" fillId="17" borderId="19" xfId="0" applyFill="1" applyBorder="1"/>
    <xf numFmtId="0" fontId="0" fillId="17" borderId="49" xfId="0" applyFill="1" applyBorder="1"/>
    <xf numFmtId="0" fontId="0" fillId="17" borderId="1" xfId="0" applyFill="1" applyBorder="1"/>
    <xf numFmtId="0" fontId="0" fillId="0" borderId="6" xfId="0" applyBorder="1"/>
    <xf numFmtId="0" fontId="0" fillId="2" borderId="36" xfId="0" applyFill="1" applyBorder="1"/>
    <xf numFmtId="0" fontId="0" fillId="0" borderId="51" xfId="0" applyFill="1" applyBorder="1"/>
    <xf numFmtId="0" fontId="4" fillId="17" borderId="0" xfId="0" applyFont="1" applyFill="1" applyBorder="1"/>
    <xf numFmtId="0" fontId="4" fillId="0" borderId="0" xfId="0" applyFont="1" applyFill="1" applyBorder="1"/>
    <xf numFmtId="0" fontId="0" fillId="17" borderId="10" xfId="0" applyFill="1" applyBorder="1"/>
    <xf numFmtId="0" fontId="0" fillId="0" borderId="20" xfId="0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0" fillId="0" borderId="11" xfId="0" applyBorder="1"/>
    <xf numFmtId="0" fontId="0" fillId="0" borderId="35" xfId="0" applyBorder="1" applyAlignment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4" xfId="0" applyFont="1" applyFill="1" applyBorder="1"/>
    <xf numFmtId="0" fontId="0" fillId="13" borderId="1" xfId="0" applyFont="1" applyFill="1" applyBorder="1"/>
    <xf numFmtId="0" fontId="0" fillId="0" borderId="4" xfId="0" applyFont="1" applyFill="1" applyBorder="1"/>
    <xf numFmtId="0" fontId="0" fillId="0" borderId="27" xfId="1" applyNumberFormat="1" applyFont="1" applyBorder="1"/>
    <xf numFmtId="0" fontId="0" fillId="0" borderId="27" xfId="1" applyNumberFormat="1" applyFont="1" applyFill="1" applyBorder="1"/>
    <xf numFmtId="9" fontId="0" fillId="0" borderId="27" xfId="1" applyFont="1" applyFill="1" applyBorder="1"/>
    <xf numFmtId="0" fontId="0" fillId="3" borderId="0" xfId="1" applyNumberFormat="1" applyFont="1" applyFill="1" applyBorder="1"/>
    <xf numFmtId="9" fontId="0" fillId="3" borderId="0" xfId="1" applyFont="1" applyFill="1" applyBorder="1"/>
    <xf numFmtId="0" fontId="0" fillId="3" borderId="4" xfId="0" applyFont="1" applyFill="1" applyBorder="1"/>
    <xf numFmtId="0" fontId="0" fillId="3" borderId="1" xfId="0" applyFont="1" applyFill="1" applyBorder="1"/>
    <xf numFmtId="9" fontId="0" fillId="17" borderId="0" xfId="1" applyFont="1" applyFill="1" applyBorder="1"/>
    <xf numFmtId="0" fontId="0" fillId="7" borderId="0" xfId="0" applyFill="1" applyBorder="1"/>
    <xf numFmtId="0" fontId="0" fillId="2" borderId="0" xfId="0" applyFill="1" applyBorder="1"/>
    <xf numFmtId="0" fontId="0" fillId="0" borderId="10" xfId="0" applyFill="1" applyBorder="1"/>
    <xf numFmtId="0" fontId="0" fillId="0" borderId="52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5" fillId="12" borderId="16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center"/>
    </xf>
    <xf numFmtId="14" fontId="0" fillId="2" borderId="35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10" borderId="3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/>
    </xf>
    <xf numFmtId="14" fontId="0" fillId="4" borderId="35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3" borderId="17" xfId="0" applyFont="1" applyFill="1" applyBorder="1"/>
    <xf numFmtId="0" fontId="7" fillId="3" borderId="30" xfId="0" applyFont="1" applyFill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'Совершенствование скорости'!$A$45:$A$52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'Совершенствование скорости'!$H$45:$H$52</c:f>
              <c:numCache>
                <c:formatCode>General</c:formatCode>
                <c:ptCount val="8"/>
                <c:pt idx="0">
                  <c:v>2800</c:v>
                </c:pt>
                <c:pt idx="1">
                  <c:v>2900</c:v>
                </c:pt>
                <c:pt idx="2">
                  <c:v>3000</c:v>
                </c:pt>
                <c:pt idx="3">
                  <c:v>3100</c:v>
                </c:pt>
                <c:pt idx="4">
                  <c:v>3375</c:v>
                </c:pt>
                <c:pt idx="5">
                  <c:v>3625</c:v>
                </c:pt>
                <c:pt idx="6">
                  <c:v>3000</c:v>
                </c:pt>
                <c:pt idx="7">
                  <c:v>3200</c:v>
                </c:pt>
              </c:numCache>
            </c:numRef>
          </c:yVal>
          <c:smooth val="1"/>
        </c:ser>
        <c:axId val="53639040"/>
        <c:axId val="53640576"/>
      </c:scatterChart>
      <c:valAx>
        <c:axId val="53639040"/>
        <c:scaling>
          <c:orientation val="minMax"/>
        </c:scaling>
        <c:axPos val="b"/>
        <c:numFmt formatCode="General" sourceLinked="1"/>
        <c:tickLblPos val="nextTo"/>
        <c:crossAx val="53640576"/>
        <c:crosses val="autoZero"/>
        <c:crossBetween val="midCat"/>
      </c:valAx>
      <c:valAx>
        <c:axId val="53640576"/>
        <c:scaling>
          <c:orientation val="minMax"/>
        </c:scaling>
        <c:axPos val="l"/>
        <c:majorGridlines/>
        <c:numFmt formatCode="General" sourceLinked="1"/>
        <c:tickLblPos val="nextTo"/>
        <c:crossAx val="53639040"/>
        <c:crosses val="autoZero"/>
        <c:crossBetween val="midCat"/>
      </c:valAx>
    </c:plotArea>
    <c:plotVisOnly val="1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266185476815402E-2"/>
          <c:y val="7.4548702245552628E-2"/>
          <c:w val="0.88716833876737256"/>
          <c:h val="0.8326195683872849"/>
        </c:manualLayout>
      </c:layout>
      <c:scatterChart>
        <c:scatterStyle val="smoothMarker"/>
        <c:ser>
          <c:idx val="0"/>
          <c:order val="0"/>
          <c:xVal>
            <c:numRef>
              <c:f>'Совершенствование скорости'!$A$58:$A$65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'Совершенствование скорости'!$H$58:$H$65</c:f>
              <c:numCache>
                <c:formatCode>General</c:formatCode>
                <c:ptCount val="8"/>
                <c:pt idx="0">
                  <c:v>1200</c:v>
                </c:pt>
                <c:pt idx="1">
                  <c:v>1320</c:v>
                </c:pt>
                <c:pt idx="2">
                  <c:v>1440</c:v>
                </c:pt>
                <c:pt idx="3">
                  <c:v>1560</c:v>
                </c:pt>
                <c:pt idx="4">
                  <c:v>1380</c:v>
                </c:pt>
                <c:pt idx="5">
                  <c:v>1500</c:v>
                </c:pt>
                <c:pt idx="6">
                  <c:v>1620</c:v>
                </c:pt>
                <c:pt idx="7">
                  <c:v>1500</c:v>
                </c:pt>
              </c:numCache>
            </c:numRef>
          </c:yVal>
          <c:smooth val="1"/>
        </c:ser>
        <c:axId val="53659904"/>
        <c:axId val="54067200"/>
      </c:scatterChart>
      <c:valAx>
        <c:axId val="53659904"/>
        <c:scaling>
          <c:orientation val="minMax"/>
        </c:scaling>
        <c:axPos val="b"/>
        <c:numFmt formatCode="General" sourceLinked="1"/>
        <c:tickLblPos val="nextTo"/>
        <c:crossAx val="54067200"/>
        <c:crosses val="autoZero"/>
        <c:crossBetween val="midCat"/>
      </c:valAx>
      <c:valAx>
        <c:axId val="54067200"/>
        <c:scaling>
          <c:orientation val="minMax"/>
        </c:scaling>
        <c:axPos val="l"/>
        <c:majorGridlines/>
        <c:numFmt formatCode="General" sourceLinked="1"/>
        <c:tickLblPos val="nextTo"/>
        <c:crossAx val="53659904"/>
        <c:crosses val="autoZero"/>
        <c:crossBetween val="midCat"/>
      </c:valAx>
    </c:plotArea>
    <c:plotVisOnly val="1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'Совершенствование скорости'!$A$72:$A$79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'Совершенствование скорости'!$H$72:$H$79</c:f>
              <c:numCache>
                <c:formatCode>General</c:formatCode>
                <c:ptCount val="8"/>
                <c:pt idx="0">
                  <c:v>5040</c:v>
                </c:pt>
                <c:pt idx="1">
                  <c:v>5580</c:v>
                </c:pt>
                <c:pt idx="2">
                  <c:v>5940</c:v>
                </c:pt>
                <c:pt idx="3">
                  <c:v>6300</c:v>
                </c:pt>
                <c:pt idx="4">
                  <c:v>6660</c:v>
                </c:pt>
                <c:pt idx="5">
                  <c:v>6120</c:v>
                </c:pt>
                <c:pt idx="6">
                  <c:v>6480</c:v>
                </c:pt>
                <c:pt idx="7">
                  <c:v>6840</c:v>
                </c:pt>
              </c:numCache>
            </c:numRef>
          </c:yVal>
          <c:smooth val="1"/>
        </c:ser>
        <c:axId val="54086272"/>
        <c:axId val="54092160"/>
      </c:scatterChart>
      <c:valAx>
        <c:axId val="54086272"/>
        <c:scaling>
          <c:orientation val="minMax"/>
        </c:scaling>
        <c:axPos val="b"/>
        <c:numFmt formatCode="General" sourceLinked="1"/>
        <c:tickLblPos val="nextTo"/>
        <c:crossAx val="54092160"/>
        <c:crosses val="autoZero"/>
        <c:crossBetween val="midCat"/>
      </c:valAx>
      <c:valAx>
        <c:axId val="54092160"/>
        <c:scaling>
          <c:orientation val="minMax"/>
        </c:scaling>
        <c:axPos val="l"/>
        <c:majorGridlines/>
        <c:numFmt formatCode="General" sourceLinked="1"/>
        <c:tickLblPos val="nextTo"/>
        <c:crossAx val="54086272"/>
        <c:crosses val="autoZero"/>
        <c:crossBetween val="midCat"/>
      </c:valAx>
    </c:plotArea>
    <c:plotVisOnly val="1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2960661782362773E-2"/>
          <c:y val="5.4129941823454472E-2"/>
          <c:w val="0.69677264709052134"/>
          <c:h val="0.87846477869275752"/>
        </c:manualLayout>
      </c:layout>
      <c:scatterChart>
        <c:scatterStyle val="smoothMarker"/>
        <c:ser>
          <c:idx val="0"/>
          <c:order val="0"/>
          <c:tx>
            <c:strRef>
              <c:f>'Совершенствование скорости'!$B$16</c:f>
              <c:strCache>
                <c:ptCount val="1"/>
                <c:pt idx="0">
                  <c:v>ИНТ (вт)</c:v>
                </c:pt>
              </c:strCache>
            </c:strRef>
          </c:tx>
          <c:xVal>
            <c:numRef>
              <c:f>('Совершенствование скорости'!$I$15,'Совершенствование скорости'!$L$15,'Совершенствование скорости'!$O$15,'Совершенствование скорости'!$R$15,'Совершенствование скорости'!$U$15,'Совершенствование скорости'!$X$15)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('Совершенствование скорости'!$I$16,'Совершенствование скорости'!$L$16,'Совершенствование скорости'!$O$16,'Совершенствование скорости'!$R$16,'Совершенствование скорости'!$U$16,'Совершенствование скорости'!$X$16)</c:f>
              <c:numCache>
                <c:formatCode>General</c:formatCode>
                <c:ptCount val="6"/>
                <c:pt idx="0">
                  <c:v>20</c:v>
                </c:pt>
                <c:pt idx="1">
                  <c:v>23.5</c:v>
                </c:pt>
                <c:pt idx="2">
                  <c:v>27</c:v>
                </c:pt>
                <c:pt idx="3">
                  <c:v>30.5</c:v>
                </c:pt>
                <c:pt idx="4">
                  <c:v>24</c:v>
                </c:pt>
                <c:pt idx="5">
                  <c:v>27.826086956521738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'Совершенствование скорости'!$B$34</c:f>
              <c:strCache>
                <c:ptCount val="1"/>
                <c:pt idx="0">
                  <c:v>ИНТ (пт)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yVal>
            <c:numRef>
              <c:f>('Совершенствование скорости'!$F$34,'Совершенствование скорости'!$I$34,'Совершенствование скорости'!$L$34,'Совершенствование скорости'!$O$34,'Совершенствование скорости'!$R$34,'Совершенствование скорости'!$U$34,'Совершенствование скорости'!$X$34)</c:f>
              <c:numCache>
                <c:formatCode>General</c:formatCode>
                <c:ptCount val="7"/>
                <c:pt idx="0">
                  <c:v>35.666666666666664</c:v>
                </c:pt>
                <c:pt idx="1">
                  <c:v>38</c:v>
                </c:pt>
                <c:pt idx="2">
                  <c:v>45</c:v>
                </c:pt>
                <c:pt idx="3">
                  <c:v>39.07692307692308</c:v>
                </c:pt>
                <c:pt idx="4">
                  <c:v>39.677419354838712</c:v>
                </c:pt>
                <c:pt idx="5">
                  <c:v>45</c:v>
                </c:pt>
                <c:pt idx="6">
                  <c:v>45.555555555555557</c:v>
                </c:pt>
              </c:numCache>
            </c:numRef>
          </c:yVal>
          <c:smooth val="1"/>
        </c:ser>
        <c:axId val="69419008"/>
        <c:axId val="69420544"/>
      </c:scatterChart>
      <c:valAx>
        <c:axId val="69419008"/>
        <c:scaling>
          <c:orientation val="minMax"/>
        </c:scaling>
        <c:axPos val="b"/>
        <c:numFmt formatCode="General" sourceLinked="1"/>
        <c:tickLblPos val="nextTo"/>
        <c:crossAx val="69420544"/>
        <c:crosses val="autoZero"/>
        <c:crossBetween val="midCat"/>
      </c:valAx>
      <c:valAx>
        <c:axId val="69420544"/>
        <c:scaling>
          <c:orientation val="minMax"/>
        </c:scaling>
        <c:axPos val="l"/>
        <c:majorGridlines/>
        <c:numFmt formatCode="General" sourceLinked="1"/>
        <c:tickLblPos val="nextTo"/>
        <c:crossAx val="694190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'Совершенствование скорости'!$B$17</c:f>
              <c:strCache>
                <c:ptCount val="1"/>
                <c:pt idx="0">
                  <c:v>Тоннаж (б-вт)</c:v>
                </c:pt>
              </c:strCache>
            </c:strRef>
          </c:tx>
          <c:xVal>
            <c:numRef>
              <c:f>('Совершенствование скорости'!$I$15,'Совершенствование скорости'!$L$15,'Совершенствование скорости'!$O$15,'Совершенствование скорости'!$R$15,'Совершенствование скорости'!$U$15,'Совершенствование скорости'!$X$15)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('Совершенствование скорости'!$I$17,'Совершенствование скорости'!$L$17,'Совершенствование скорости'!$O$17,'Совершенствование скорости'!$R$17,'Совершенствование скорости'!$U$17,'Совершенствование скорости'!$X$17)</c:f>
              <c:numCache>
                <c:formatCode>General</c:formatCode>
                <c:ptCount val="6"/>
                <c:pt idx="0">
                  <c:v>1200</c:v>
                </c:pt>
                <c:pt idx="1">
                  <c:v>1410</c:v>
                </c:pt>
                <c:pt idx="2">
                  <c:v>1296</c:v>
                </c:pt>
                <c:pt idx="3">
                  <c:v>1464</c:v>
                </c:pt>
                <c:pt idx="4">
                  <c:v>1680</c:v>
                </c:pt>
                <c:pt idx="5">
                  <c:v>1280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'Совершенствование скорости'!$B$35</c:f>
              <c:strCache>
                <c:ptCount val="1"/>
                <c:pt idx="0">
                  <c:v>Тоннаж (б-пт)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yVal>
            <c:numRef>
              <c:f>('Совершенствование скорости'!$F$35,'Совершенствование скорости'!$I$35,'Совершенствование скорости'!$L$35,'Совершенствование скорости'!$O$35,'Совершенствование скорости'!$R$35,'Совершенствование скорости'!$U$35,'Совершенствование скорости'!$X$35)</c:f>
              <c:numCache>
                <c:formatCode>General</c:formatCode>
                <c:ptCount val="7"/>
                <c:pt idx="0">
                  <c:v>1926</c:v>
                </c:pt>
                <c:pt idx="1">
                  <c:v>1824</c:v>
                </c:pt>
                <c:pt idx="2">
                  <c:v>2160</c:v>
                </c:pt>
                <c:pt idx="3">
                  <c:v>2032</c:v>
                </c:pt>
                <c:pt idx="4">
                  <c:v>2460</c:v>
                </c:pt>
                <c:pt idx="5">
                  <c:v>2700</c:v>
                </c:pt>
                <c:pt idx="6">
                  <c:v>2460</c:v>
                </c:pt>
              </c:numCache>
            </c:numRef>
          </c:yVal>
          <c:smooth val="1"/>
        </c:ser>
        <c:axId val="69445120"/>
        <c:axId val="69446656"/>
      </c:scatterChart>
      <c:valAx>
        <c:axId val="69445120"/>
        <c:scaling>
          <c:orientation val="minMax"/>
        </c:scaling>
        <c:axPos val="b"/>
        <c:numFmt formatCode="General" sourceLinked="1"/>
        <c:tickLblPos val="nextTo"/>
        <c:crossAx val="69446656"/>
        <c:crosses val="autoZero"/>
        <c:crossBetween val="midCat"/>
      </c:valAx>
      <c:valAx>
        <c:axId val="69446656"/>
        <c:scaling>
          <c:orientation val="minMax"/>
          <c:min val="1000"/>
        </c:scaling>
        <c:axPos val="l"/>
        <c:majorGridlines/>
        <c:numFmt formatCode="General" sourceLinked="1"/>
        <c:tickLblPos val="nextTo"/>
        <c:crossAx val="69445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'Совершенствование скорости'!$B$20</c:f>
              <c:strCache>
                <c:ptCount val="1"/>
                <c:pt idx="0">
                  <c:v>Тоннаж (ж-вт)</c:v>
                </c:pt>
              </c:strCache>
            </c:strRef>
          </c:tx>
          <c:yVal>
            <c:numRef>
              <c:f>('Совершенствование скорости'!$I$20,'Совершенствование скорости'!$L$20,'Совершенствование скорости'!$O$20,'Совершенствование скорости'!$R$20,'Совершенствование скорости'!$U$20,'Совершенствование скорости'!$X$20)</c:f>
              <c:numCache>
                <c:formatCode>General</c:formatCode>
                <c:ptCount val="6"/>
                <c:pt idx="0">
                  <c:v>6520</c:v>
                </c:pt>
                <c:pt idx="1">
                  <c:v>9700</c:v>
                </c:pt>
                <c:pt idx="2">
                  <c:v>11395</c:v>
                </c:pt>
                <c:pt idx="3">
                  <c:v>11045</c:v>
                </c:pt>
                <c:pt idx="4">
                  <c:v>11130</c:v>
                </c:pt>
                <c:pt idx="5">
                  <c:v>11620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'Совершенствование скорости'!$B$38</c:f>
              <c:strCache>
                <c:ptCount val="1"/>
                <c:pt idx="0">
                  <c:v>Тоннаж (ж-пт)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yVal>
            <c:numRef>
              <c:f>('Совершенствование скорости'!$I$38,'Совершенствование скорости'!$L$38,'Совершенствование скорости'!$O$38,'Совершенствование скорости'!$R$38,'Совершенствование скорости'!$U$38,'Совершенствование скорости'!$X$38)</c:f>
              <c:numCache>
                <c:formatCode>General</c:formatCode>
                <c:ptCount val="6"/>
                <c:pt idx="0">
                  <c:v>8380</c:v>
                </c:pt>
                <c:pt idx="1">
                  <c:v>8860</c:v>
                </c:pt>
                <c:pt idx="2">
                  <c:v>9385</c:v>
                </c:pt>
                <c:pt idx="3">
                  <c:v>10971</c:v>
                </c:pt>
                <c:pt idx="4">
                  <c:v>11375</c:v>
                </c:pt>
                <c:pt idx="5">
                  <c:v>11435</c:v>
                </c:pt>
              </c:numCache>
            </c:numRef>
          </c:yVal>
          <c:smooth val="1"/>
        </c:ser>
        <c:axId val="69606016"/>
        <c:axId val="69612288"/>
      </c:scatterChart>
      <c:valAx>
        <c:axId val="69606016"/>
        <c:scaling>
          <c:orientation val="minMax"/>
        </c:scaling>
        <c:axPos val="b"/>
        <c:tickLblPos val="nextTo"/>
        <c:crossAx val="69612288"/>
        <c:crosses val="autoZero"/>
        <c:crossBetween val="midCat"/>
      </c:valAx>
      <c:valAx>
        <c:axId val="69612288"/>
        <c:scaling>
          <c:orientation val="minMax"/>
          <c:min val="5000"/>
        </c:scaling>
        <c:axPos val="l"/>
        <c:majorGridlines/>
        <c:numFmt formatCode="General" sourceLinked="1"/>
        <c:tickLblPos val="nextTo"/>
        <c:crossAx val="69606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'Совершенствование скорости'!$B$21</c:f>
              <c:strCache>
                <c:ptCount val="1"/>
                <c:pt idx="0">
                  <c:v>Тоннаж (общ-в)</c:v>
                </c:pt>
              </c:strCache>
            </c:strRef>
          </c:tx>
          <c:yVal>
            <c:numRef>
              <c:f>('Совершенствование скорости'!$I$21,'Совершенствование скорости'!$L$21,'Совершенствование скорости'!$O$21,'Совершенствование скорости'!$R$21,'Совершенствование скорости'!$U$21,'Совершенствование скорости'!$X$21)</c:f>
              <c:numCache>
                <c:formatCode>General</c:formatCode>
                <c:ptCount val="6"/>
                <c:pt idx="0">
                  <c:v>7720</c:v>
                </c:pt>
                <c:pt idx="1">
                  <c:v>11110</c:v>
                </c:pt>
                <c:pt idx="2">
                  <c:v>12691</c:v>
                </c:pt>
                <c:pt idx="3">
                  <c:v>12509</c:v>
                </c:pt>
                <c:pt idx="4">
                  <c:v>12810</c:v>
                </c:pt>
                <c:pt idx="5">
                  <c:v>12900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'Совершенствование скорости'!$B$39</c:f>
              <c:strCache>
                <c:ptCount val="1"/>
                <c:pt idx="0">
                  <c:v>Тоннаж (общ-пт)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yVal>
            <c:numRef>
              <c:f>('Совершенствование скорости'!$I$39,'Совершенствование скорости'!$L$39,'Совершенствование скорости'!$O$39,'Совершенствование скорости'!$R$39,'Совершенствование скорости'!$U$39,'Совершенствование скорости'!$X$39)</c:f>
              <c:numCache>
                <c:formatCode>General</c:formatCode>
                <c:ptCount val="6"/>
                <c:pt idx="0">
                  <c:v>10204</c:v>
                </c:pt>
                <c:pt idx="1">
                  <c:v>11020</c:v>
                </c:pt>
                <c:pt idx="2">
                  <c:v>11417</c:v>
                </c:pt>
                <c:pt idx="3">
                  <c:v>13431</c:v>
                </c:pt>
                <c:pt idx="4">
                  <c:v>14075</c:v>
                </c:pt>
                <c:pt idx="5">
                  <c:v>13895</c:v>
                </c:pt>
              </c:numCache>
            </c:numRef>
          </c:yVal>
          <c:smooth val="1"/>
        </c:ser>
        <c:axId val="69628288"/>
        <c:axId val="69630208"/>
      </c:scatterChart>
      <c:valAx>
        <c:axId val="69628288"/>
        <c:scaling>
          <c:orientation val="minMax"/>
        </c:scaling>
        <c:axPos val="b"/>
        <c:numFmt formatCode="General" sourceLinked="1"/>
        <c:tickLblPos val="nextTo"/>
        <c:crossAx val="69630208"/>
        <c:crosses val="autoZero"/>
        <c:crossBetween val="midCat"/>
      </c:valAx>
      <c:valAx>
        <c:axId val="69630208"/>
        <c:scaling>
          <c:orientation val="minMax"/>
          <c:min val="6000"/>
        </c:scaling>
        <c:axPos val="l"/>
        <c:majorGridlines/>
        <c:numFmt formatCode="General" sourceLinked="1"/>
        <c:tickLblPos val="nextTo"/>
        <c:crossAx val="69628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43</xdr:row>
      <xdr:rowOff>13607</xdr:rowOff>
    </xdr:from>
    <xdr:to>
      <xdr:col>25</xdr:col>
      <xdr:colOff>152400</xdr:colOff>
      <xdr:row>54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55</xdr:row>
      <xdr:rowOff>57150</xdr:rowOff>
    </xdr:from>
    <xdr:to>
      <xdr:col>25</xdr:col>
      <xdr:colOff>152400</xdr:colOff>
      <xdr:row>69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70</xdr:row>
      <xdr:rowOff>104775</xdr:rowOff>
    </xdr:from>
    <xdr:to>
      <xdr:col>25</xdr:col>
      <xdr:colOff>133350</xdr:colOff>
      <xdr:row>84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269743</xdr:colOff>
      <xdr:row>7</xdr:row>
      <xdr:rowOff>27214</xdr:rowOff>
    </xdr:from>
    <xdr:to>
      <xdr:col>34</xdr:col>
      <xdr:colOff>605919</xdr:colOff>
      <xdr:row>25</xdr:row>
      <xdr:rowOff>76840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64472</xdr:colOff>
      <xdr:row>7</xdr:row>
      <xdr:rowOff>45624</xdr:rowOff>
    </xdr:from>
    <xdr:to>
      <xdr:col>42</xdr:col>
      <xdr:colOff>342581</xdr:colOff>
      <xdr:row>25</xdr:row>
      <xdr:rowOff>99251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204107</xdr:colOff>
      <xdr:row>33</xdr:row>
      <xdr:rowOff>163286</xdr:rowOff>
    </xdr:from>
    <xdr:to>
      <xdr:col>41</xdr:col>
      <xdr:colOff>190499</xdr:colOff>
      <xdr:row>56</xdr:row>
      <xdr:rowOff>149679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181534</xdr:colOff>
      <xdr:row>62</xdr:row>
      <xdr:rowOff>131909</xdr:rowOff>
    </xdr:from>
    <xdr:to>
      <xdr:col>41</xdr:col>
      <xdr:colOff>190501</xdr:colOff>
      <xdr:row>89</xdr:row>
      <xdr:rowOff>122464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D9" sqref="D9"/>
    </sheetView>
  </sheetViews>
  <sheetFormatPr defaultRowHeight="15"/>
  <cols>
    <col min="1" max="1" width="11.140625" customWidth="1"/>
    <col min="2" max="2" width="27.7109375" customWidth="1"/>
    <col min="3" max="3" width="19.5703125" customWidth="1"/>
    <col min="5" max="5" width="3.7109375" customWidth="1"/>
    <col min="6" max="6" width="46.140625" customWidth="1"/>
  </cols>
  <sheetData>
    <row r="3" spans="1:6">
      <c r="A3" t="s">
        <v>0</v>
      </c>
      <c r="B3" s="2" t="s">
        <v>1</v>
      </c>
    </row>
    <row r="4" spans="1:6">
      <c r="A4" t="s">
        <v>2</v>
      </c>
      <c r="B4">
        <v>300</v>
      </c>
    </row>
    <row r="5" spans="1:6">
      <c r="B5" t="s">
        <v>3</v>
      </c>
      <c r="C5" s="235" t="s">
        <v>9</v>
      </c>
      <c r="D5">
        <v>240</v>
      </c>
    </row>
    <row r="6" spans="1:6">
      <c r="B6" t="s">
        <v>4</v>
      </c>
      <c r="C6" s="235"/>
      <c r="D6" s="1">
        <v>250</v>
      </c>
      <c r="E6" s="236" t="s">
        <v>12</v>
      </c>
      <c r="F6" s="179" t="s">
        <v>112</v>
      </c>
    </row>
    <row r="7" spans="1:6">
      <c r="B7" t="s">
        <v>5</v>
      </c>
      <c r="C7" s="235" t="s">
        <v>10</v>
      </c>
      <c r="D7" s="1">
        <v>260</v>
      </c>
      <c r="E7" s="236"/>
      <c r="F7" s="180" t="s">
        <v>113</v>
      </c>
    </row>
    <row r="8" spans="1:6">
      <c r="B8" t="s">
        <v>6</v>
      </c>
      <c r="C8" s="235"/>
      <c r="D8" s="1">
        <v>280</v>
      </c>
      <c r="E8" s="236"/>
      <c r="F8" s="191" t="s">
        <v>114</v>
      </c>
    </row>
    <row r="9" spans="1:6">
      <c r="B9" t="s">
        <v>7</v>
      </c>
      <c r="C9" s="235" t="s">
        <v>11</v>
      </c>
      <c r="D9" s="1">
        <v>290</v>
      </c>
      <c r="E9" s="236"/>
    </row>
    <row r="10" spans="1:6">
      <c r="B10" t="s">
        <v>8</v>
      </c>
      <c r="C10" s="235"/>
      <c r="D10" s="1">
        <v>300</v>
      </c>
      <c r="E10" s="236"/>
    </row>
  </sheetData>
  <mergeCells count="4">
    <mergeCell ref="C5:C6"/>
    <mergeCell ref="C7:C8"/>
    <mergeCell ref="C9:C10"/>
    <mergeCell ref="E6:E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8"/>
  <sheetViews>
    <sheetView topLeftCell="C34" workbookViewId="0">
      <selection activeCell="H43" sqref="H43"/>
    </sheetView>
  </sheetViews>
  <sheetFormatPr defaultRowHeight="15"/>
  <cols>
    <col min="1" max="1" width="3.7109375" customWidth="1"/>
    <col min="2" max="2" width="22" customWidth="1"/>
    <col min="3" max="3" width="5" customWidth="1"/>
    <col min="4" max="4" width="4.7109375" customWidth="1"/>
    <col min="5" max="5" width="3.7109375" customWidth="1"/>
    <col min="6" max="6" width="3.85546875" customWidth="1"/>
    <col min="7" max="7" width="4.140625" bestFit="1" customWidth="1"/>
    <col min="8" max="8" width="4.7109375" customWidth="1"/>
    <col min="9" max="9" width="4" bestFit="1" customWidth="1"/>
    <col min="10" max="10" width="4.140625" bestFit="1" customWidth="1"/>
    <col min="11" max="11" width="6.140625" bestFit="1" customWidth="1"/>
    <col min="12" max="12" width="3.5703125" customWidth="1"/>
    <col min="13" max="13" width="4.5703125" customWidth="1"/>
    <col min="14" max="14" width="4.7109375" customWidth="1"/>
    <col min="15" max="15" width="2.5703125" customWidth="1"/>
    <col min="16" max="16" width="6.42578125" customWidth="1"/>
    <col min="17" max="17" width="4.7109375" customWidth="1"/>
    <col min="18" max="18" width="2.7109375" customWidth="1"/>
    <col min="19" max="19" width="2.85546875" customWidth="1"/>
    <col min="20" max="23" width="4.42578125" customWidth="1"/>
    <col min="24" max="24" width="4.7109375" bestFit="1" customWidth="1"/>
    <col min="25" max="25" width="2.140625" bestFit="1" customWidth="1"/>
    <col min="26" max="26" width="4.42578125" customWidth="1"/>
    <col min="27" max="27" width="4.7109375" bestFit="1" customWidth="1"/>
    <col min="28" max="28" width="2.140625" bestFit="1" customWidth="1"/>
    <col min="30" max="30" width="5.7109375" customWidth="1"/>
    <col min="31" max="31" width="7.140625" customWidth="1"/>
    <col min="32" max="34" width="5.7109375" customWidth="1"/>
    <col min="35" max="35" width="6.42578125" customWidth="1"/>
  </cols>
  <sheetData>
    <row r="1" spans="1:37" ht="15.75" thickBot="1">
      <c r="C1" s="18"/>
      <c r="H1" s="192">
        <v>28</v>
      </c>
      <c r="I1" s="146">
        <v>15</v>
      </c>
      <c r="J1" s="135">
        <v>35</v>
      </c>
      <c r="K1" s="115">
        <v>22</v>
      </c>
      <c r="L1" t="s">
        <v>30</v>
      </c>
    </row>
    <row r="2" spans="1:37" ht="15.75" thickBot="1">
      <c r="A2" t="s">
        <v>108</v>
      </c>
      <c r="C2" s="18"/>
      <c r="H2" s="193">
        <v>500</v>
      </c>
      <c r="I2" s="145">
        <f>I1*$O$2</f>
        <v>267.85500000000002</v>
      </c>
      <c r="J2" s="134">
        <f t="shared" ref="J2:K2" si="0">J1*$O$2</f>
        <v>624.995</v>
      </c>
      <c r="K2" s="29">
        <f t="shared" si="0"/>
        <v>392.85399999999998</v>
      </c>
      <c r="L2" t="s">
        <v>94</v>
      </c>
      <c r="O2">
        <v>17.856999999999999</v>
      </c>
    </row>
    <row r="3" spans="1:37" ht="15.75" thickBot="1">
      <c r="B3" t="s">
        <v>107</v>
      </c>
      <c r="C3" s="18"/>
      <c r="F3" t="s">
        <v>24</v>
      </c>
      <c r="G3">
        <v>280</v>
      </c>
      <c r="H3" s="192">
        <v>190</v>
      </c>
      <c r="I3" s="145">
        <f>I1*$O$3</f>
        <v>101.78571428571428</v>
      </c>
      <c r="J3" s="134">
        <f t="shared" ref="J3:K3" si="1">J1*$O$3</f>
        <v>237.5</v>
      </c>
      <c r="K3" s="29">
        <f t="shared" si="1"/>
        <v>149.28571428571428</v>
      </c>
      <c r="L3" t="s">
        <v>95</v>
      </c>
      <c r="O3">
        <f>H3/H1</f>
        <v>6.7857142857142856</v>
      </c>
    </row>
    <row r="5" spans="1:37" ht="15.75" thickBot="1"/>
    <row r="6" spans="1:37">
      <c r="A6" s="6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0"/>
      <c r="T6" s="27"/>
      <c r="U6" s="30"/>
      <c r="V6" s="27"/>
      <c r="W6" s="27"/>
      <c r="X6" s="27"/>
      <c r="Y6" s="27"/>
      <c r="Z6" s="27"/>
      <c r="AA6" s="27"/>
      <c r="AB6" s="30"/>
    </row>
    <row r="7" spans="1:3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4"/>
      <c r="T7" s="22"/>
      <c r="U7" s="24"/>
      <c r="V7" s="22"/>
      <c r="W7" s="22"/>
      <c r="X7" s="22"/>
      <c r="Y7" s="22"/>
      <c r="Z7" s="22"/>
      <c r="AA7" s="22"/>
      <c r="AB7" s="24"/>
      <c r="AD7" s="76" t="s">
        <v>26</v>
      </c>
      <c r="AE7" s="76" t="s">
        <v>72</v>
      </c>
      <c r="AF7" s="76" t="s">
        <v>73</v>
      </c>
      <c r="AG7" s="76" t="s">
        <v>74</v>
      </c>
      <c r="AH7" s="76" t="s">
        <v>75</v>
      </c>
      <c r="AI7" s="76" t="s">
        <v>76</v>
      </c>
    </row>
    <row r="8" spans="1:37">
      <c r="A8" s="4">
        <v>1</v>
      </c>
      <c r="B8" s="138" t="s">
        <v>13</v>
      </c>
      <c r="C8" s="3">
        <v>280</v>
      </c>
      <c r="D8" s="3"/>
      <c r="E8" s="3"/>
      <c r="F8" s="3"/>
      <c r="G8" s="22">
        <v>140</v>
      </c>
      <c r="H8" s="40">
        <f>G8/C8</f>
        <v>0.5</v>
      </c>
      <c r="I8" s="22">
        <v>6</v>
      </c>
      <c r="J8" s="22">
        <v>6</v>
      </c>
      <c r="K8" s="40"/>
      <c r="L8" s="26"/>
      <c r="M8" s="26"/>
      <c r="N8" s="40"/>
      <c r="O8" s="26"/>
      <c r="P8" s="26"/>
      <c r="Q8" s="40"/>
      <c r="R8" s="22"/>
      <c r="S8" s="127"/>
      <c r="T8" s="40"/>
      <c r="U8" s="127"/>
      <c r="V8" s="22"/>
      <c r="W8" s="22"/>
      <c r="X8" s="22"/>
      <c r="Y8" s="22"/>
      <c r="Z8" s="22"/>
      <c r="AA8" s="22"/>
      <c r="AB8" s="24"/>
      <c r="AD8">
        <f>SUM(AE8:AI8)</f>
        <v>36</v>
      </c>
      <c r="AE8">
        <v>36</v>
      </c>
    </row>
    <row r="9" spans="1:37">
      <c r="A9" s="4">
        <v>2</v>
      </c>
      <c r="B9" s="138" t="s">
        <v>22</v>
      </c>
      <c r="C9" s="3">
        <f>G3*0.8</f>
        <v>224</v>
      </c>
      <c r="D9" s="3"/>
      <c r="E9" s="3"/>
      <c r="F9" s="3"/>
      <c r="G9" s="22">
        <v>135</v>
      </c>
      <c r="H9" s="40">
        <f>G9/C9</f>
        <v>0.6026785714285714</v>
      </c>
      <c r="I9" s="22">
        <v>5</v>
      </c>
      <c r="J9" s="22">
        <v>5</v>
      </c>
      <c r="K9" s="105"/>
      <c r="L9" s="150"/>
      <c r="M9" s="128"/>
      <c r="N9" s="105"/>
      <c r="O9" s="128"/>
      <c r="P9" s="128"/>
      <c r="Q9" s="22"/>
      <c r="R9" s="22"/>
      <c r="S9" s="24"/>
      <c r="T9" s="22"/>
      <c r="U9" s="24"/>
      <c r="V9" s="22"/>
      <c r="W9" s="22"/>
      <c r="X9" s="22"/>
      <c r="Y9" s="22"/>
      <c r="Z9" s="22"/>
      <c r="AA9" s="22"/>
      <c r="AB9" s="24"/>
      <c r="AD9">
        <f>SUM(AE9:AI9)</f>
        <v>25</v>
      </c>
      <c r="AE9">
        <v>25</v>
      </c>
    </row>
    <row r="10" spans="1:37">
      <c r="A10" s="4">
        <v>3</v>
      </c>
      <c r="B10" s="55" t="s">
        <v>71</v>
      </c>
      <c r="C10" s="20"/>
      <c r="D10" s="20">
        <v>100</v>
      </c>
      <c r="E10" s="20">
        <v>6</v>
      </c>
      <c r="F10" s="20">
        <v>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2"/>
      <c r="U10" s="24"/>
      <c r="V10" s="22"/>
      <c r="W10" s="22"/>
      <c r="X10" s="22"/>
      <c r="Y10" s="22"/>
      <c r="Z10" s="22"/>
      <c r="AA10" s="22"/>
      <c r="AB10" s="24"/>
      <c r="AD10">
        <f>E10*F10</f>
        <v>24</v>
      </c>
    </row>
    <row r="11" spans="1:37">
      <c r="A11" s="4">
        <v>4</v>
      </c>
      <c r="B11" s="55" t="s">
        <v>33</v>
      </c>
      <c r="C11" s="20"/>
      <c r="D11" s="20">
        <v>55</v>
      </c>
      <c r="E11" s="20">
        <v>4</v>
      </c>
      <c r="F11" s="20">
        <v>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/>
      <c r="T11" s="22"/>
      <c r="U11" s="24"/>
      <c r="V11" s="22"/>
      <c r="W11" s="22"/>
      <c r="X11" s="22"/>
      <c r="Y11" s="22"/>
      <c r="Z11" s="22"/>
      <c r="AA11" s="22"/>
      <c r="AB11" s="24"/>
      <c r="AD11">
        <f t="shared" ref="AD11:AD13" si="2">E11*F11</f>
        <v>16</v>
      </c>
    </row>
    <row r="12" spans="1:37">
      <c r="A12" s="4">
        <v>5</v>
      </c>
      <c r="B12" s="139" t="s">
        <v>105</v>
      </c>
      <c r="C12" s="20"/>
      <c r="D12" s="20">
        <v>22</v>
      </c>
      <c r="E12" s="20">
        <v>5</v>
      </c>
      <c r="F12" s="20">
        <v>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2"/>
      <c r="U12" s="24"/>
      <c r="V12" s="22"/>
      <c r="W12" s="22"/>
      <c r="X12" s="22"/>
      <c r="Y12" s="22"/>
      <c r="Z12" s="22"/>
      <c r="AA12" s="22"/>
      <c r="AB12" s="24"/>
      <c r="AD12">
        <f t="shared" si="2"/>
        <v>25</v>
      </c>
    </row>
    <row r="13" spans="1:37" ht="15.75" thickBot="1">
      <c r="A13" s="220">
        <v>6</v>
      </c>
      <c r="B13" s="139" t="s">
        <v>116</v>
      </c>
      <c r="C13" s="218"/>
      <c r="D13" s="219">
        <v>40</v>
      </c>
      <c r="E13" s="219">
        <v>3</v>
      </c>
      <c r="F13" s="219">
        <v>6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4"/>
      <c r="T13" s="22"/>
      <c r="U13" s="24"/>
      <c r="V13" s="22"/>
      <c r="W13" s="22"/>
      <c r="X13" s="22"/>
      <c r="Y13" s="22"/>
      <c r="Z13" s="22"/>
      <c r="AA13" s="22"/>
      <c r="AB13" s="24"/>
      <c r="AD13">
        <f t="shared" si="2"/>
        <v>18</v>
      </c>
    </row>
    <row r="14" spans="1:37" ht="15.75" thickBot="1">
      <c r="A14" s="271"/>
      <c r="B14" s="272"/>
      <c r="C14" s="282"/>
      <c r="D14" s="3"/>
      <c r="E14" s="283"/>
      <c r="F14" s="28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4"/>
      <c r="T14" s="22"/>
      <c r="U14" s="24"/>
      <c r="V14" s="22"/>
      <c r="W14" s="22"/>
      <c r="X14" s="22"/>
      <c r="Y14" s="22"/>
      <c r="Z14" s="22"/>
      <c r="AA14" s="22"/>
      <c r="AB14" s="24"/>
      <c r="AD14" s="137">
        <f>SUM(AD8:AD13)</f>
        <v>144</v>
      </c>
      <c r="AJ14" t="s">
        <v>26</v>
      </c>
      <c r="AK14" t="s">
        <v>77</v>
      </c>
    </row>
    <row r="15" spans="1:37" ht="15" customHeight="1" thickBo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4"/>
      <c r="T15" s="22"/>
      <c r="U15" s="24"/>
      <c r="V15" s="22"/>
      <c r="W15" s="22"/>
      <c r="X15" s="22"/>
      <c r="Y15" s="22"/>
      <c r="Z15" s="22"/>
      <c r="AA15" s="22"/>
      <c r="AB15" s="24"/>
      <c r="AE15" s="110">
        <f>SUM(AE8:AE14)</f>
        <v>61</v>
      </c>
      <c r="AF15" s="111">
        <f>SUM(AF8:AF14)</f>
        <v>0</v>
      </c>
      <c r="AG15" s="111">
        <f>SUM(AG8:AG14)</f>
        <v>0</v>
      </c>
      <c r="AH15" s="112">
        <f>SUM(AH8:AH14)</f>
        <v>0</v>
      </c>
      <c r="AJ15" s="116">
        <f>SUM(AE15:AI15)</f>
        <v>61</v>
      </c>
      <c r="AK15" s="147">
        <f>(0.55*AE15+0.65*AF15+0.75*AG15+0.85*AH15)/AJ15</f>
        <v>0.55000000000000004</v>
      </c>
    </row>
    <row r="16" spans="1:37">
      <c r="A16" s="23" t="s">
        <v>31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4"/>
      <c r="T16" s="22"/>
      <c r="U16" s="24"/>
      <c r="V16" s="22"/>
      <c r="W16" s="22"/>
      <c r="X16" s="22"/>
      <c r="Y16" s="22"/>
      <c r="Z16" s="22"/>
      <c r="AA16" s="22"/>
      <c r="AB16" s="24"/>
    </row>
    <row r="17" spans="1:37" ht="15.75" customHeight="1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4"/>
      <c r="T17" s="22"/>
      <c r="U17" s="24"/>
      <c r="V17" s="22"/>
      <c r="W17" s="22"/>
      <c r="X17" s="22"/>
      <c r="Y17" s="22"/>
      <c r="Z17" s="22"/>
      <c r="AA17" s="22"/>
      <c r="AB17" s="24"/>
      <c r="AD17" s="76" t="s">
        <v>26</v>
      </c>
      <c r="AE17" s="76" t="s">
        <v>72</v>
      </c>
      <c r="AF17" s="76" t="s">
        <v>73</v>
      </c>
      <c r="AG17" s="76" t="s">
        <v>74</v>
      </c>
      <c r="AH17" s="76" t="s">
        <v>75</v>
      </c>
      <c r="AI17" s="76" t="s">
        <v>76</v>
      </c>
    </row>
    <row r="18" spans="1:37">
      <c r="A18" s="4">
        <v>1</v>
      </c>
      <c r="B18" s="138" t="s">
        <v>17</v>
      </c>
      <c r="C18" s="3">
        <v>240</v>
      </c>
      <c r="D18" s="3"/>
      <c r="E18" s="3"/>
      <c r="F18" s="3"/>
      <c r="G18" s="22">
        <v>120</v>
      </c>
      <c r="H18" s="40">
        <f>G18/C18</f>
        <v>0.5</v>
      </c>
      <c r="I18" s="22">
        <v>5</v>
      </c>
      <c r="J18" s="22">
        <v>150</v>
      </c>
      <c r="K18" s="40">
        <f>J18/C18</f>
        <v>0.625</v>
      </c>
      <c r="L18" s="26">
        <v>5</v>
      </c>
      <c r="M18" s="26">
        <v>180</v>
      </c>
      <c r="N18" s="40">
        <f>M18/C18</f>
        <v>0.75</v>
      </c>
      <c r="O18" s="26">
        <v>4</v>
      </c>
      <c r="P18" s="26">
        <v>4</v>
      </c>
      <c r="Q18" s="40"/>
      <c r="R18" s="26"/>
      <c r="S18" s="127"/>
      <c r="T18" s="105"/>
      <c r="U18" s="223"/>
      <c r="V18" s="26"/>
      <c r="W18" s="22"/>
      <c r="X18" s="40"/>
      <c r="Y18" s="26"/>
      <c r="Z18" s="26"/>
      <c r="AA18" s="40"/>
      <c r="AB18" s="127"/>
      <c r="AD18">
        <f>SUM(AE18:AI18)</f>
        <v>26</v>
      </c>
      <c r="AE18">
        <v>5</v>
      </c>
      <c r="AF18">
        <v>5</v>
      </c>
      <c r="AG18">
        <v>16</v>
      </c>
    </row>
    <row r="19" spans="1:37">
      <c r="A19" s="4">
        <v>2</v>
      </c>
      <c r="B19" s="138" t="s">
        <v>13</v>
      </c>
      <c r="C19" s="3">
        <v>280</v>
      </c>
      <c r="D19" s="3"/>
      <c r="E19" s="3"/>
      <c r="F19" s="3"/>
      <c r="G19" s="22">
        <v>140</v>
      </c>
      <c r="H19" s="40">
        <f>G19/C19</f>
        <v>0.5</v>
      </c>
      <c r="I19" s="22">
        <v>6</v>
      </c>
      <c r="J19" s="22">
        <v>170</v>
      </c>
      <c r="K19" s="40">
        <f>J19/C19</f>
        <v>0.6071428571428571</v>
      </c>
      <c r="L19" s="26">
        <v>5</v>
      </c>
      <c r="M19" s="26">
        <v>5</v>
      </c>
      <c r="N19" s="22"/>
      <c r="O19" s="40"/>
      <c r="P19" s="22"/>
      <c r="Q19" s="22"/>
      <c r="R19" s="22"/>
      <c r="S19" s="24"/>
      <c r="T19" s="22"/>
      <c r="U19" s="24"/>
      <c r="V19" s="22"/>
      <c r="W19" s="22"/>
      <c r="X19" s="22"/>
      <c r="Y19" s="22"/>
      <c r="Z19" s="22"/>
      <c r="AA19" s="22"/>
      <c r="AB19" s="24"/>
      <c r="AD19">
        <f>SUM(AE19:AI19)</f>
        <v>31</v>
      </c>
      <c r="AE19">
        <v>6</v>
      </c>
      <c r="AF19">
        <v>25</v>
      </c>
    </row>
    <row r="20" spans="1:37">
      <c r="A20" s="4">
        <v>3</v>
      </c>
      <c r="B20" s="138" t="s">
        <v>70</v>
      </c>
      <c r="C20" s="3">
        <v>288</v>
      </c>
      <c r="D20" s="3"/>
      <c r="E20" s="3"/>
      <c r="F20" s="3"/>
      <c r="G20" s="22">
        <v>200</v>
      </c>
      <c r="H20" s="40">
        <f>G20/C20</f>
        <v>0.69444444444444442</v>
      </c>
      <c r="I20" s="22">
        <v>4</v>
      </c>
      <c r="J20" s="22">
        <v>5</v>
      </c>
      <c r="K20" s="22"/>
      <c r="L20" s="22"/>
      <c r="M20" s="22"/>
      <c r="N20" s="22"/>
      <c r="O20" s="22"/>
      <c r="P20" s="22"/>
      <c r="Q20" s="22"/>
      <c r="R20" s="22"/>
      <c r="S20" s="24"/>
      <c r="T20" s="22"/>
      <c r="U20" s="24"/>
      <c r="V20" s="22"/>
      <c r="W20" s="22"/>
      <c r="X20" s="22"/>
      <c r="Y20" s="22"/>
      <c r="Z20" s="22"/>
      <c r="AA20" s="22"/>
      <c r="AB20" s="24"/>
      <c r="AD20">
        <f>E20*F20</f>
        <v>0</v>
      </c>
      <c r="AF20">
        <v>20</v>
      </c>
    </row>
    <row r="21" spans="1:37">
      <c r="A21" s="4">
        <v>4</v>
      </c>
      <c r="B21" s="55" t="s">
        <v>32</v>
      </c>
      <c r="C21" s="3"/>
      <c r="D21" s="3">
        <v>70</v>
      </c>
      <c r="E21" s="3">
        <v>6</v>
      </c>
      <c r="F21" s="3">
        <v>6</v>
      </c>
      <c r="G21" s="22"/>
      <c r="H21" s="22"/>
      <c r="I21" s="22"/>
      <c r="J21" s="26"/>
      <c r="K21" s="26"/>
      <c r="L21" s="26"/>
      <c r="M21" s="22"/>
      <c r="N21" s="22"/>
      <c r="O21" s="22"/>
      <c r="P21" s="22"/>
      <c r="Q21" s="22"/>
      <c r="R21" s="22"/>
      <c r="S21" s="24"/>
      <c r="T21" s="22"/>
      <c r="U21" s="24"/>
      <c r="V21" s="22"/>
      <c r="W21" s="22"/>
      <c r="X21" s="22"/>
      <c r="Y21" s="22"/>
      <c r="Z21" s="22"/>
      <c r="AA21" s="22"/>
      <c r="AB21" s="24"/>
      <c r="AD21">
        <f>E21*F21</f>
        <v>36</v>
      </c>
    </row>
    <row r="22" spans="1:37">
      <c r="A22" s="4">
        <v>5</v>
      </c>
      <c r="B22" s="53" t="s">
        <v>36</v>
      </c>
      <c r="C22" s="3"/>
      <c r="D22" s="3">
        <v>30</v>
      </c>
      <c r="E22" s="3">
        <v>5</v>
      </c>
      <c r="F22" s="3">
        <v>5</v>
      </c>
      <c r="G22" s="22"/>
      <c r="H22" s="22"/>
      <c r="I22" s="22"/>
      <c r="J22" s="26"/>
      <c r="K22" s="26"/>
      <c r="L22" s="26"/>
      <c r="M22" s="22"/>
      <c r="N22" s="22"/>
      <c r="O22" s="22"/>
      <c r="P22" s="22"/>
      <c r="Q22" s="22"/>
      <c r="R22" s="22"/>
      <c r="S22" s="24"/>
      <c r="T22" s="22"/>
      <c r="U22" s="24"/>
      <c r="V22" s="22"/>
      <c r="W22" s="22"/>
      <c r="X22" s="22"/>
      <c r="Y22" s="22"/>
      <c r="Z22" s="22"/>
      <c r="AA22" s="22"/>
      <c r="AB22" s="24"/>
      <c r="AD22">
        <f>E22*F22</f>
        <v>25</v>
      </c>
    </row>
    <row r="23" spans="1:37" ht="15.75" thickBot="1">
      <c r="A23" s="19">
        <v>6</v>
      </c>
      <c r="B23" s="139" t="s">
        <v>81</v>
      </c>
      <c r="C23" s="3"/>
      <c r="D23" s="3">
        <v>60</v>
      </c>
      <c r="E23" s="3">
        <v>5</v>
      </c>
      <c r="F23" s="3">
        <v>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  <c r="T23" s="22"/>
      <c r="U23" s="24"/>
      <c r="V23" s="22"/>
      <c r="W23" s="22"/>
      <c r="X23" s="22"/>
      <c r="Y23" s="22"/>
      <c r="Z23" s="22"/>
      <c r="AA23" s="22"/>
      <c r="AB23" s="24"/>
      <c r="AD23">
        <f>E23*F23</f>
        <v>25</v>
      </c>
    </row>
    <row r="24" spans="1:37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4"/>
      <c r="T24" s="22"/>
      <c r="U24" s="24"/>
      <c r="V24" s="22"/>
      <c r="W24" s="22"/>
      <c r="X24" s="22"/>
      <c r="Y24" s="22"/>
      <c r="Z24" s="22"/>
      <c r="AA24" s="22"/>
      <c r="AB24" s="24"/>
      <c r="AD24" s="140">
        <f>SUM(AD18:AD23)</f>
        <v>143</v>
      </c>
      <c r="AJ24" t="s">
        <v>26</v>
      </c>
      <c r="AK24" t="s">
        <v>77</v>
      </c>
    </row>
    <row r="25" spans="1:37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4"/>
      <c r="T25" s="22"/>
      <c r="U25" s="24"/>
      <c r="V25" s="22"/>
      <c r="W25" s="22"/>
      <c r="X25" s="22"/>
      <c r="Y25" s="22"/>
      <c r="Z25" s="22"/>
      <c r="AA25" s="22"/>
      <c r="AB25" s="24"/>
      <c r="AE25" s="110">
        <f>SUM(AE17:AE24)</f>
        <v>11</v>
      </c>
      <c r="AF25" s="111">
        <f>SUM(AF17:AF24)</f>
        <v>50</v>
      </c>
      <c r="AG25" s="111">
        <f>SUM(AG17:AG24)</f>
        <v>16</v>
      </c>
      <c r="AH25" s="111">
        <f>SUM(AH17:AH24)</f>
        <v>0</v>
      </c>
      <c r="AI25" s="112"/>
      <c r="AJ25" s="116">
        <f>SUM(AE25:AI25)</f>
        <v>77</v>
      </c>
      <c r="AK25" s="143">
        <f>(0.55*AE25+0.65*AF25+0.75*AG25+0.85*AH25+0.95*AI25)/AJ25</f>
        <v>0.65649350649350646</v>
      </c>
    </row>
    <row r="26" spans="1:37">
      <c r="A26" s="23" t="s">
        <v>98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4"/>
      <c r="T26" s="22"/>
      <c r="U26" s="24"/>
      <c r="V26" s="22"/>
      <c r="W26" s="22"/>
      <c r="X26" s="22"/>
      <c r="Y26" s="22"/>
      <c r="Z26" s="22"/>
      <c r="AA26" s="22"/>
      <c r="AB26" s="24"/>
    </row>
    <row r="27" spans="1:37" ht="15.75" customHeight="1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4"/>
      <c r="T27" s="22"/>
      <c r="U27" s="24"/>
      <c r="V27" s="22"/>
      <c r="W27" s="22"/>
      <c r="X27" s="22"/>
      <c r="Y27" s="22"/>
      <c r="Z27" s="22"/>
      <c r="AA27" s="22"/>
      <c r="AB27" s="24"/>
      <c r="AD27" s="76" t="s">
        <v>26</v>
      </c>
      <c r="AE27" s="76" t="s">
        <v>72</v>
      </c>
      <c r="AF27" s="76" t="s">
        <v>73</v>
      </c>
      <c r="AG27" s="76" t="s">
        <v>74</v>
      </c>
      <c r="AH27" s="76" t="s">
        <v>75</v>
      </c>
      <c r="AI27" s="76" t="s">
        <v>76</v>
      </c>
    </row>
    <row r="28" spans="1:37">
      <c r="A28" s="4">
        <v>1</v>
      </c>
      <c r="B28" s="138" t="s">
        <v>13</v>
      </c>
      <c r="C28" s="3">
        <v>280</v>
      </c>
      <c r="D28" s="3"/>
      <c r="E28" s="3"/>
      <c r="F28" s="3"/>
      <c r="G28" s="22">
        <v>140</v>
      </c>
      <c r="H28" s="40">
        <f>G28/C28</f>
        <v>0.5</v>
      </c>
      <c r="I28" s="22">
        <v>5</v>
      </c>
      <c r="J28" s="22">
        <v>170</v>
      </c>
      <c r="K28" s="40">
        <f>J28/C28</f>
        <v>0.6071428571428571</v>
      </c>
      <c r="L28" s="26">
        <v>5</v>
      </c>
      <c r="M28" s="26">
        <v>200</v>
      </c>
      <c r="N28" s="40">
        <f>M28/C28</f>
        <v>0.7142857142857143</v>
      </c>
      <c r="O28" s="26">
        <v>4</v>
      </c>
      <c r="P28" s="26">
        <v>4</v>
      </c>
      <c r="Q28" s="40"/>
      <c r="R28" s="26"/>
      <c r="S28" s="127"/>
      <c r="T28" s="105"/>
      <c r="U28" s="223"/>
      <c r="V28" s="26"/>
      <c r="W28" s="22"/>
      <c r="X28" s="40"/>
      <c r="Y28" s="26"/>
      <c r="Z28" s="26"/>
      <c r="AA28" s="40"/>
      <c r="AB28" s="127"/>
      <c r="AD28">
        <f>SUM(AE28:AI28)</f>
        <v>26</v>
      </c>
      <c r="AE28">
        <v>5</v>
      </c>
      <c r="AF28">
        <v>5</v>
      </c>
      <c r="AG28">
        <v>16</v>
      </c>
    </row>
    <row r="29" spans="1:37">
      <c r="A29" s="4">
        <v>2</v>
      </c>
      <c r="B29" s="138" t="s">
        <v>67</v>
      </c>
      <c r="C29" s="3">
        <v>308</v>
      </c>
      <c r="D29" s="3"/>
      <c r="E29" s="3"/>
      <c r="F29" s="3"/>
      <c r="G29" s="22">
        <v>220</v>
      </c>
      <c r="H29" s="40">
        <f>G29/C29</f>
        <v>0.7142857142857143</v>
      </c>
      <c r="I29" s="22">
        <v>4</v>
      </c>
      <c r="J29" s="22">
        <v>4</v>
      </c>
      <c r="K29" s="40"/>
      <c r="L29" s="26"/>
      <c r="M29" s="26"/>
      <c r="N29" s="22"/>
      <c r="O29" s="40"/>
      <c r="P29" s="22"/>
      <c r="Q29" s="22"/>
      <c r="R29" s="22"/>
      <c r="S29" s="24"/>
      <c r="T29" s="22"/>
      <c r="U29" s="24"/>
      <c r="V29" s="22"/>
      <c r="W29" s="22"/>
      <c r="X29" s="22"/>
      <c r="Y29" s="22"/>
      <c r="Z29" s="22"/>
      <c r="AA29" s="22"/>
      <c r="AB29" s="24"/>
      <c r="AD29">
        <f>SUM(AE29:AI29)</f>
        <v>16</v>
      </c>
      <c r="AG29">
        <v>16</v>
      </c>
    </row>
    <row r="30" spans="1:37">
      <c r="A30" s="4">
        <v>3</v>
      </c>
      <c r="B30" s="55" t="s">
        <v>71</v>
      </c>
      <c r="C30" s="3"/>
      <c r="D30" s="3">
        <v>100</v>
      </c>
      <c r="E30" s="3">
        <v>6</v>
      </c>
      <c r="F30" s="3">
        <v>6</v>
      </c>
      <c r="G30" s="22"/>
      <c r="H30" s="4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4"/>
      <c r="T30" s="22"/>
      <c r="U30" s="24"/>
      <c r="V30" s="22"/>
      <c r="W30" s="22"/>
      <c r="X30" s="22"/>
      <c r="Y30" s="22"/>
      <c r="Z30" s="22"/>
      <c r="AA30" s="22"/>
      <c r="AB30" s="24"/>
      <c r="AD30">
        <f>E30*F30</f>
        <v>36</v>
      </c>
    </row>
    <row r="31" spans="1:37">
      <c r="A31" s="4">
        <v>4</v>
      </c>
      <c r="B31" s="55" t="s">
        <v>32</v>
      </c>
      <c r="C31" s="3"/>
      <c r="D31" s="3">
        <v>70</v>
      </c>
      <c r="E31" s="3">
        <v>6</v>
      </c>
      <c r="F31" s="3">
        <v>6</v>
      </c>
      <c r="G31" s="22"/>
      <c r="H31" s="22"/>
      <c r="I31" s="22"/>
      <c r="J31" s="26"/>
      <c r="K31" s="26"/>
      <c r="L31" s="26"/>
      <c r="M31" s="22"/>
      <c r="N31" s="22"/>
      <c r="O31" s="22"/>
      <c r="P31" s="22"/>
      <c r="Q31" s="22"/>
      <c r="R31" s="22"/>
      <c r="S31" s="24"/>
      <c r="T31" s="22"/>
      <c r="U31" s="24"/>
      <c r="V31" s="22"/>
      <c r="W31" s="22"/>
      <c r="X31" s="22"/>
      <c r="Y31" s="22"/>
      <c r="Z31" s="22"/>
      <c r="AA31" s="22"/>
      <c r="AB31" s="24"/>
      <c r="AD31">
        <f>E31*F31</f>
        <v>36</v>
      </c>
    </row>
    <row r="32" spans="1:37">
      <c r="A32" s="4">
        <v>5</v>
      </c>
      <c r="B32" s="53" t="s">
        <v>102</v>
      </c>
      <c r="C32" s="3"/>
      <c r="D32" s="3">
        <v>40</v>
      </c>
      <c r="E32" s="3">
        <v>5</v>
      </c>
      <c r="F32" s="3">
        <v>5</v>
      </c>
      <c r="G32" s="22"/>
      <c r="H32" s="22"/>
      <c r="I32" s="22"/>
      <c r="J32" s="26"/>
      <c r="K32" s="26"/>
      <c r="L32" s="26"/>
      <c r="M32" s="22"/>
      <c r="N32" s="22"/>
      <c r="O32" s="22"/>
      <c r="P32" s="22"/>
      <c r="Q32" s="22"/>
      <c r="R32" s="22"/>
      <c r="S32" s="24"/>
      <c r="T32" s="22"/>
      <c r="U32" s="24"/>
      <c r="V32" s="22"/>
      <c r="W32" s="22"/>
      <c r="X32" s="22"/>
      <c r="Y32" s="22"/>
      <c r="Z32" s="22"/>
      <c r="AA32" s="22"/>
      <c r="AB32" s="24"/>
      <c r="AD32">
        <f>E32*F32</f>
        <v>25</v>
      </c>
    </row>
    <row r="33" spans="1:37" ht="15.75" thickBot="1">
      <c r="A33" s="19">
        <v>6</v>
      </c>
      <c r="B33" s="139" t="s">
        <v>81</v>
      </c>
      <c r="C33" s="3"/>
      <c r="D33" s="3">
        <v>60</v>
      </c>
      <c r="E33" s="3">
        <v>5</v>
      </c>
      <c r="F33" s="3">
        <v>5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4"/>
      <c r="T33" s="22"/>
      <c r="U33" s="24"/>
      <c r="V33" s="22"/>
      <c r="W33" s="22"/>
      <c r="X33" s="22"/>
      <c r="Y33" s="22"/>
      <c r="Z33" s="22"/>
      <c r="AA33" s="22"/>
      <c r="AB33" s="24"/>
      <c r="AD33">
        <f>E33*F33</f>
        <v>25</v>
      </c>
    </row>
    <row r="34" spans="1:37" ht="15.75" thickBo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4"/>
      <c r="T34" s="22"/>
      <c r="U34" s="24"/>
      <c r="V34" s="22"/>
      <c r="W34" s="22"/>
      <c r="X34" s="22"/>
      <c r="Y34" s="22"/>
      <c r="Z34" s="22"/>
      <c r="AA34" s="22"/>
      <c r="AB34" s="24"/>
      <c r="AD34" s="140">
        <f>SUM(AD28:AD33)</f>
        <v>164</v>
      </c>
      <c r="AJ34" t="s">
        <v>26</v>
      </c>
      <c r="AK34" t="s">
        <v>77</v>
      </c>
    </row>
    <row r="35" spans="1:37" ht="15.75" thickBot="1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4"/>
      <c r="T35" s="22"/>
      <c r="U35" s="24"/>
      <c r="V35" s="22"/>
      <c r="W35" s="22"/>
      <c r="X35" s="22"/>
      <c r="Y35" s="22"/>
      <c r="Z35" s="22"/>
      <c r="AA35" s="22"/>
      <c r="AB35" s="24"/>
      <c r="AE35" s="110">
        <f>SUM(AE27:AE34)</f>
        <v>5</v>
      </c>
      <c r="AF35" s="111">
        <f>SUM(AF27:AF34)</f>
        <v>5</v>
      </c>
      <c r="AG35" s="111">
        <f>SUM(AG27:AG34)</f>
        <v>32</v>
      </c>
      <c r="AH35" s="111">
        <f>SUM(AH27:AH34)</f>
        <v>0</v>
      </c>
      <c r="AI35" s="112"/>
      <c r="AJ35" s="116">
        <f>SUM(AE35:AI35)</f>
        <v>42</v>
      </c>
      <c r="AK35" s="143">
        <f>(0.55*AE35+0.65*AF35+0.75*AG35+0.85*AH35+0.95*AI35)/AJ35</f>
        <v>0.7142857142857143</v>
      </c>
    </row>
    <row r="36" spans="1:37">
      <c r="A36" s="23" t="s">
        <v>16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4"/>
      <c r="T36" s="22"/>
      <c r="U36" s="24"/>
      <c r="V36" s="22"/>
      <c r="W36" s="22"/>
      <c r="X36" s="22"/>
      <c r="Y36" s="22"/>
      <c r="Z36" s="22"/>
      <c r="AA36" s="22"/>
      <c r="AB36" s="24"/>
    </row>
    <row r="37" spans="1:37">
      <c r="A37" s="2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/>
      <c r="T37" s="22"/>
      <c r="U37" s="24"/>
      <c r="V37" s="22"/>
      <c r="W37" s="22"/>
      <c r="X37" s="22"/>
      <c r="Y37" s="22"/>
      <c r="Z37" s="22"/>
      <c r="AA37" s="22"/>
      <c r="AB37" s="24"/>
      <c r="AD37" s="76" t="s">
        <v>26</v>
      </c>
      <c r="AE37" s="76" t="s">
        <v>72</v>
      </c>
      <c r="AF37" s="76" t="s">
        <v>73</v>
      </c>
      <c r="AG37" s="76" t="s">
        <v>74</v>
      </c>
      <c r="AH37" s="76" t="s">
        <v>75</v>
      </c>
      <c r="AI37" s="76" t="s">
        <v>76</v>
      </c>
    </row>
    <row r="38" spans="1:37">
      <c r="A38" s="4">
        <v>1</v>
      </c>
      <c r="B38" s="138" t="s">
        <v>13</v>
      </c>
      <c r="C38" s="3">
        <v>280</v>
      </c>
      <c r="D38" s="3"/>
      <c r="E38" s="3"/>
      <c r="F38" s="3"/>
      <c r="G38" s="22">
        <v>140</v>
      </c>
      <c r="H38" s="40">
        <f>G38/C38</f>
        <v>0.5</v>
      </c>
      <c r="I38" s="22">
        <v>6</v>
      </c>
      <c r="J38" s="22">
        <v>170</v>
      </c>
      <c r="K38" s="40">
        <f>J38/C38</f>
        <v>0.6071428571428571</v>
      </c>
      <c r="L38" s="26">
        <v>6</v>
      </c>
      <c r="M38" s="26">
        <v>200</v>
      </c>
      <c r="N38" s="40">
        <f>M38/C38</f>
        <v>0.7142857142857143</v>
      </c>
      <c r="O38" s="26">
        <v>4</v>
      </c>
      <c r="P38" s="26">
        <v>232.5</v>
      </c>
      <c r="Q38" s="40">
        <f>P38/C38</f>
        <v>0.8303571428571429</v>
      </c>
      <c r="R38" s="150">
        <v>4</v>
      </c>
      <c r="S38" s="224">
        <v>5</v>
      </c>
      <c r="T38" s="40"/>
      <c r="U38" s="224"/>
      <c r="V38" s="128"/>
      <c r="W38" s="22"/>
      <c r="X38" s="22"/>
      <c r="Y38" s="22"/>
      <c r="Z38" s="22"/>
      <c r="AA38" s="22"/>
      <c r="AB38" s="24"/>
      <c r="AD38">
        <f>SUM(AE38:AI38)</f>
        <v>36</v>
      </c>
      <c r="AE38">
        <v>6</v>
      </c>
      <c r="AF38">
        <v>6</v>
      </c>
      <c r="AG38">
        <v>4</v>
      </c>
      <c r="AH38">
        <v>20</v>
      </c>
    </row>
    <row r="39" spans="1:37">
      <c r="A39" s="4">
        <v>2</v>
      </c>
      <c r="B39" s="138" t="s">
        <v>22</v>
      </c>
      <c r="C39" s="3">
        <f>C9</f>
        <v>224</v>
      </c>
      <c r="D39" s="3"/>
      <c r="E39" s="3"/>
      <c r="F39" s="3"/>
      <c r="G39" s="22">
        <v>150</v>
      </c>
      <c r="H39" s="40">
        <f>G39/C39</f>
        <v>0.6696428571428571</v>
      </c>
      <c r="I39" s="22">
        <v>4</v>
      </c>
      <c r="J39" s="22">
        <v>6</v>
      </c>
      <c r="K39" s="131"/>
      <c r="L39" s="26"/>
      <c r="M39" s="26"/>
      <c r="N39" s="40"/>
      <c r="O39" s="128"/>
      <c r="P39" s="128"/>
      <c r="Q39" s="105"/>
      <c r="R39" s="150"/>
      <c r="S39" s="24"/>
      <c r="T39" s="26"/>
      <c r="U39" s="225"/>
      <c r="V39" s="150"/>
      <c r="W39" s="26"/>
      <c r="X39" s="22"/>
      <c r="Y39" s="22"/>
      <c r="Z39" s="22"/>
      <c r="AA39" s="22"/>
      <c r="AB39" s="24"/>
      <c r="AD39">
        <f>SUM(AE39:AI39)</f>
        <v>24</v>
      </c>
      <c r="AF39">
        <v>24</v>
      </c>
    </row>
    <row r="40" spans="1:37">
      <c r="A40" s="4">
        <v>3</v>
      </c>
      <c r="B40" s="55" t="s">
        <v>33</v>
      </c>
      <c r="C40" s="3"/>
      <c r="D40" s="3">
        <v>45</v>
      </c>
      <c r="E40" s="3">
        <v>6</v>
      </c>
      <c r="F40" s="3">
        <v>6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4"/>
      <c r="T40" s="22"/>
      <c r="U40" s="24"/>
      <c r="V40" s="22"/>
      <c r="W40" s="22"/>
      <c r="X40" s="22"/>
      <c r="Y40" s="22"/>
      <c r="Z40" s="22"/>
      <c r="AA40" s="22"/>
      <c r="AB40" s="24"/>
      <c r="AD40">
        <f>E40*F40</f>
        <v>36</v>
      </c>
    </row>
    <row r="41" spans="1:37">
      <c r="A41" s="4">
        <v>4</v>
      </c>
      <c r="B41" s="55" t="s">
        <v>32</v>
      </c>
      <c r="C41" s="3"/>
      <c r="D41" s="3">
        <v>50</v>
      </c>
      <c r="E41" s="3">
        <v>6</v>
      </c>
      <c r="F41" s="3">
        <v>6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4"/>
      <c r="T41" s="22"/>
      <c r="U41" s="24"/>
      <c r="V41" s="22"/>
      <c r="W41" s="22"/>
      <c r="X41" s="22"/>
      <c r="Y41" s="22"/>
      <c r="Z41" s="22"/>
      <c r="AA41" s="22"/>
      <c r="AB41" s="24"/>
      <c r="AD41">
        <f>E41*F41</f>
        <v>36</v>
      </c>
    </row>
    <row r="42" spans="1:37">
      <c r="A42" s="178">
        <v>5</v>
      </c>
      <c r="B42" s="52" t="s">
        <v>105</v>
      </c>
      <c r="C42" s="52"/>
      <c r="D42" s="52">
        <v>26</v>
      </c>
      <c r="E42" s="52">
        <v>4</v>
      </c>
      <c r="F42" s="52">
        <v>6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4"/>
      <c r="T42" s="22"/>
      <c r="U42" s="24"/>
      <c r="V42" s="22"/>
      <c r="W42" s="22"/>
      <c r="X42" s="22"/>
      <c r="Y42" s="22"/>
      <c r="Z42" s="22"/>
      <c r="AA42" s="22"/>
      <c r="AB42" s="24"/>
      <c r="AD42">
        <v>0</v>
      </c>
    </row>
    <row r="43" spans="1:37" ht="15.75" thickBot="1">
      <c r="A43" s="228">
        <v>6</v>
      </c>
      <c r="B43" s="52" t="s">
        <v>121</v>
      </c>
      <c r="C43" s="229"/>
      <c r="D43" s="229">
        <v>40</v>
      </c>
      <c r="E43" s="229">
        <v>4</v>
      </c>
      <c r="F43" s="229">
        <v>4</v>
      </c>
      <c r="G43" s="22"/>
      <c r="H43" s="22"/>
      <c r="I43" s="22"/>
      <c r="J43" s="26"/>
      <c r="K43" s="26"/>
      <c r="L43" s="22"/>
      <c r="M43" s="22"/>
      <c r="N43" s="22"/>
      <c r="O43" s="22"/>
      <c r="P43" s="22"/>
      <c r="Q43" s="22"/>
      <c r="R43" s="22"/>
      <c r="S43" s="24"/>
      <c r="T43" s="22"/>
      <c r="U43" s="24"/>
      <c r="V43" s="22"/>
      <c r="W43" s="22"/>
      <c r="X43" s="22"/>
      <c r="Y43" s="22"/>
      <c r="Z43" s="22"/>
      <c r="AA43" s="22"/>
      <c r="AB43" s="24"/>
      <c r="AD43">
        <v>0</v>
      </c>
    </row>
    <row r="44" spans="1:37" ht="15.75" thickBot="1">
      <c r="A44" s="2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4"/>
      <c r="T44" s="22"/>
      <c r="U44" s="24"/>
      <c r="V44" s="22"/>
      <c r="W44" s="22"/>
      <c r="X44" s="22"/>
      <c r="Y44" s="22"/>
      <c r="Z44" s="22"/>
      <c r="AA44" s="22"/>
      <c r="AB44" s="24"/>
      <c r="AD44" s="140">
        <f>SUM(AD38:AD43)</f>
        <v>132</v>
      </c>
      <c r="AJ44" t="s">
        <v>26</v>
      </c>
      <c r="AK44" t="s">
        <v>77</v>
      </c>
    </row>
    <row r="45" spans="1:37" ht="15.75" thickBot="1">
      <c r="A45" s="5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8"/>
      <c r="U45" s="29"/>
      <c r="V45" s="28"/>
      <c r="W45" s="28"/>
      <c r="X45" s="28"/>
      <c r="Y45" s="28"/>
      <c r="Z45" s="28"/>
      <c r="AA45" s="28"/>
      <c r="AB45" s="29"/>
      <c r="AE45" s="110">
        <f>SUM(AE37:AE44)</f>
        <v>6</v>
      </c>
      <c r="AF45" s="111">
        <f t="shared" ref="AF45:AI45" si="3">SUM(AF37:AF44)</f>
        <v>30</v>
      </c>
      <c r="AG45" s="111">
        <f t="shared" si="3"/>
        <v>4</v>
      </c>
      <c r="AH45" s="111">
        <f t="shared" si="3"/>
        <v>20</v>
      </c>
      <c r="AI45" s="112">
        <f t="shared" si="3"/>
        <v>0</v>
      </c>
      <c r="AJ45" s="116">
        <f>SUM(AE45:AI45)</f>
        <v>60</v>
      </c>
      <c r="AK45" s="143">
        <f>(0.55*AE45+0.65*AF45+0.75*AG45+0.85*AH45+0.95*AI45)/AJ45</f>
        <v>0.71333333333333326</v>
      </c>
    </row>
    <row r="46" spans="1:37" ht="15.75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E46" s="26"/>
      <c r="AF46" s="26"/>
      <c r="AG46" s="26"/>
      <c r="AH46" s="26"/>
      <c r="AI46" s="26"/>
      <c r="AJ46" s="26"/>
      <c r="AK46" s="105"/>
    </row>
    <row r="47" spans="1:37" ht="15.75" thickBot="1">
      <c r="AE47" s="110">
        <f>AE45+AE25+AE35+AE15</f>
        <v>83</v>
      </c>
      <c r="AF47" s="111">
        <f t="shared" ref="AF47:AI47" si="4">AF45+AF25+AF35+AF15</f>
        <v>85</v>
      </c>
      <c r="AG47" s="111">
        <f t="shared" si="4"/>
        <v>52</v>
      </c>
      <c r="AH47" s="111">
        <f t="shared" si="4"/>
        <v>20</v>
      </c>
      <c r="AI47" s="112">
        <f t="shared" si="4"/>
        <v>0</v>
      </c>
      <c r="AJ47" s="144">
        <f>AJ45+AJ25+AJ15+AJ35</f>
        <v>240</v>
      </c>
      <c r="AK47" s="141">
        <f>(0.55*AE47+0.65*AF47+0.75*AG47+0.85*AH47+0.95*AI47)/AJ47</f>
        <v>0.65375000000000005</v>
      </c>
    </row>
    <row r="48" spans="1:37" ht="15.75" thickBot="1">
      <c r="AD48" s="140">
        <f>AD44+AD24+AD14+AD34</f>
        <v>583</v>
      </c>
    </row>
  </sheetData>
  <mergeCells count="2">
    <mergeCell ref="A14:C14"/>
    <mergeCell ref="E14:F14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4"/>
  <sheetViews>
    <sheetView workbookViewId="0">
      <selection activeCell="L25" sqref="L25"/>
    </sheetView>
  </sheetViews>
  <sheetFormatPr defaultRowHeight="15"/>
  <cols>
    <col min="1" max="1" width="3.7109375" customWidth="1"/>
    <col min="2" max="2" width="22" customWidth="1"/>
    <col min="3" max="3" width="5" customWidth="1"/>
    <col min="4" max="4" width="4.7109375" customWidth="1"/>
    <col min="5" max="5" width="3.7109375" customWidth="1"/>
    <col min="6" max="6" width="3.85546875" customWidth="1"/>
    <col min="7" max="7" width="4.140625" bestFit="1" customWidth="1"/>
    <col min="8" max="8" width="4.7109375" customWidth="1"/>
    <col min="9" max="9" width="4" bestFit="1" customWidth="1"/>
    <col min="10" max="10" width="4.5703125" bestFit="1" customWidth="1"/>
    <col min="11" max="11" width="6.140625" bestFit="1" customWidth="1"/>
    <col min="12" max="12" width="3.5703125" customWidth="1"/>
    <col min="13" max="13" width="4.5703125" customWidth="1"/>
    <col min="14" max="14" width="4.7109375" customWidth="1"/>
    <col min="15" max="15" width="2.5703125" customWidth="1"/>
    <col min="16" max="16" width="6.42578125" customWidth="1"/>
    <col min="17" max="17" width="4.7109375" customWidth="1"/>
    <col min="18" max="18" width="2.7109375" customWidth="1"/>
    <col min="19" max="19" width="2.85546875" customWidth="1"/>
    <col min="20" max="23" width="4.42578125" customWidth="1"/>
    <col min="24" max="24" width="4.7109375" bestFit="1" customWidth="1"/>
    <col min="25" max="25" width="2.140625" bestFit="1" customWidth="1"/>
    <col min="26" max="26" width="4.42578125" customWidth="1"/>
    <col min="27" max="27" width="4.7109375" bestFit="1" customWidth="1"/>
    <col min="28" max="28" width="2.140625" bestFit="1" customWidth="1"/>
    <col min="30" max="30" width="5.7109375" customWidth="1"/>
    <col min="31" max="31" width="7.140625" customWidth="1"/>
    <col min="32" max="34" width="5.7109375" customWidth="1"/>
    <col min="35" max="35" width="6.42578125" customWidth="1"/>
  </cols>
  <sheetData>
    <row r="1" spans="1:37" ht="15.75" thickBot="1">
      <c r="C1" s="18"/>
      <c r="H1" s="192">
        <v>28</v>
      </c>
      <c r="I1" s="146">
        <v>15</v>
      </c>
      <c r="J1" s="146">
        <v>35</v>
      </c>
      <c r="K1" s="286">
        <v>22</v>
      </c>
      <c r="L1" t="s">
        <v>30</v>
      </c>
    </row>
    <row r="2" spans="1:37" ht="15.75" thickBot="1">
      <c r="A2" t="s">
        <v>108</v>
      </c>
      <c r="C2" s="18"/>
      <c r="H2" s="193">
        <v>500</v>
      </c>
      <c r="I2" s="145">
        <f>I1*$O$2</f>
        <v>267.85500000000002</v>
      </c>
      <c r="J2" s="145">
        <f t="shared" ref="J2:K2" si="0">J1*$O$2</f>
        <v>624.995</v>
      </c>
      <c r="K2" s="287">
        <f t="shared" si="0"/>
        <v>392.85399999999998</v>
      </c>
      <c r="L2" t="s">
        <v>94</v>
      </c>
      <c r="O2">
        <v>17.856999999999999</v>
      </c>
    </row>
    <row r="3" spans="1:37" ht="15.75" thickBot="1">
      <c r="B3" t="s">
        <v>107</v>
      </c>
      <c r="C3" s="18"/>
      <c r="F3" t="s">
        <v>24</v>
      </c>
      <c r="G3">
        <v>280</v>
      </c>
      <c r="H3" s="192">
        <v>190</v>
      </c>
      <c r="I3" s="145">
        <f>I1*$O$3</f>
        <v>101.78571428571428</v>
      </c>
      <c r="J3" s="145">
        <f t="shared" ref="J3:K3" si="1">J1*$O$3</f>
        <v>237.5</v>
      </c>
      <c r="K3" s="287">
        <f t="shared" si="1"/>
        <v>149.28571428571428</v>
      </c>
      <c r="L3" t="s">
        <v>95</v>
      </c>
      <c r="O3">
        <f>H3/H1</f>
        <v>6.7857142857142856</v>
      </c>
    </row>
    <row r="5" spans="1:37" ht="15.75" thickBot="1"/>
    <row r="6" spans="1:37">
      <c r="A6" s="6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0"/>
      <c r="T6" s="27"/>
      <c r="U6" s="30"/>
      <c r="V6" s="27"/>
      <c r="W6" s="27"/>
      <c r="X6" s="27"/>
      <c r="Y6" s="27"/>
      <c r="Z6" s="27"/>
      <c r="AA6" s="27"/>
      <c r="AB6" s="30"/>
    </row>
    <row r="7" spans="1:3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4"/>
      <c r="T7" s="22"/>
      <c r="U7" s="24"/>
      <c r="V7" s="22"/>
      <c r="W7" s="22"/>
      <c r="X7" s="22"/>
      <c r="Y7" s="22"/>
      <c r="Z7" s="22"/>
      <c r="AA7" s="22"/>
      <c r="AB7" s="24"/>
      <c r="AD7" s="76"/>
      <c r="AE7" s="76"/>
      <c r="AF7" s="76"/>
      <c r="AG7" s="76"/>
      <c r="AH7" s="76"/>
      <c r="AI7" s="76"/>
    </row>
    <row r="8" spans="1:37">
      <c r="A8" s="4">
        <v>1</v>
      </c>
      <c r="B8" s="138" t="s">
        <v>17</v>
      </c>
      <c r="C8" s="3">
        <v>240</v>
      </c>
      <c r="D8" s="3"/>
      <c r="E8" s="3"/>
      <c r="F8" s="3"/>
      <c r="G8" s="22">
        <v>140</v>
      </c>
      <c r="H8" s="40">
        <f>G8/C8</f>
        <v>0.58333333333333337</v>
      </c>
      <c r="I8" s="22">
        <v>4</v>
      </c>
      <c r="J8" s="22">
        <v>165</v>
      </c>
      <c r="K8" s="40">
        <f>J8/C8</f>
        <v>0.6875</v>
      </c>
      <c r="L8" s="26">
        <v>4</v>
      </c>
      <c r="M8" s="26">
        <v>190</v>
      </c>
      <c r="N8" s="40">
        <f>M8/C8</f>
        <v>0.79166666666666663</v>
      </c>
      <c r="O8" s="26">
        <v>4</v>
      </c>
      <c r="P8" s="26">
        <v>4</v>
      </c>
      <c r="Q8" s="40"/>
      <c r="R8" s="22"/>
      <c r="S8" s="127"/>
      <c r="T8" s="40"/>
      <c r="U8" s="127"/>
      <c r="V8" s="22"/>
      <c r="W8" s="22"/>
      <c r="X8" s="22"/>
      <c r="Y8" s="22"/>
      <c r="Z8" s="22"/>
      <c r="AA8" s="22"/>
      <c r="AB8" s="24"/>
    </row>
    <row r="9" spans="1:37">
      <c r="A9" s="4">
        <v>2</v>
      </c>
      <c r="B9" s="138" t="s">
        <v>13</v>
      </c>
      <c r="C9" s="3">
        <v>280</v>
      </c>
      <c r="D9" s="3"/>
      <c r="E9" s="3"/>
      <c r="F9" s="3"/>
      <c r="G9" s="22">
        <v>150</v>
      </c>
      <c r="H9" s="40">
        <f>G9/C9</f>
        <v>0.5357142857142857</v>
      </c>
      <c r="I9" s="22">
        <v>5</v>
      </c>
      <c r="J9" s="22">
        <v>5</v>
      </c>
      <c r="K9" s="105"/>
      <c r="L9" s="150"/>
      <c r="M9" s="128"/>
      <c r="N9" s="105"/>
      <c r="O9" s="128"/>
      <c r="P9" s="128"/>
      <c r="Q9" s="22"/>
      <c r="R9" s="22"/>
      <c r="S9" s="24"/>
      <c r="T9" s="22"/>
      <c r="U9" s="24"/>
      <c r="V9" s="22"/>
      <c r="W9" s="22"/>
      <c r="X9" s="22"/>
      <c r="Y9" s="22"/>
      <c r="Z9" s="22"/>
      <c r="AA9" s="22"/>
      <c r="AB9" s="24"/>
    </row>
    <row r="10" spans="1:37">
      <c r="A10" s="4">
        <v>3</v>
      </c>
      <c r="B10" s="55" t="s">
        <v>71</v>
      </c>
      <c r="C10" s="20"/>
      <c r="D10" s="20">
        <v>100</v>
      </c>
      <c r="E10" s="20">
        <v>6</v>
      </c>
      <c r="F10" s="20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2"/>
      <c r="U10" s="24"/>
      <c r="V10" s="22"/>
      <c r="W10" s="22"/>
      <c r="X10" s="22"/>
      <c r="Y10" s="22"/>
      <c r="Z10" s="22"/>
      <c r="AA10" s="22"/>
      <c r="AB10" s="24"/>
    </row>
    <row r="11" spans="1:37" ht="15.75" thickBot="1">
      <c r="A11" s="4">
        <v>4</v>
      </c>
      <c r="B11" s="55" t="s">
        <v>33</v>
      </c>
      <c r="C11" s="20"/>
      <c r="D11" s="20">
        <v>35</v>
      </c>
      <c r="E11" s="20">
        <v>6</v>
      </c>
      <c r="F11" s="20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/>
      <c r="T11" s="22"/>
      <c r="U11" s="24"/>
      <c r="V11" s="22"/>
      <c r="W11" s="22"/>
      <c r="X11" s="22"/>
      <c r="Y11" s="22"/>
      <c r="Z11" s="22"/>
      <c r="AA11" s="22"/>
      <c r="AB11" s="24"/>
    </row>
    <row r="12" spans="1:37" ht="15.75" thickBot="1">
      <c r="A12" s="271"/>
      <c r="B12" s="272"/>
      <c r="C12" s="282"/>
      <c r="D12" s="3"/>
      <c r="E12" s="283"/>
      <c r="F12" s="28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2"/>
      <c r="U12" s="24"/>
      <c r="V12" s="22"/>
      <c r="W12" s="22"/>
      <c r="X12" s="22"/>
      <c r="Y12" s="22"/>
      <c r="Z12" s="22"/>
      <c r="AA12" s="22"/>
      <c r="AB12" s="24"/>
      <c r="AD12" s="137"/>
    </row>
    <row r="13" spans="1:37" ht="15" customHeight="1" thickBot="1">
      <c r="A13" s="5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2"/>
      <c r="U13" s="24"/>
      <c r="V13" s="22"/>
      <c r="W13" s="22"/>
      <c r="X13" s="22"/>
      <c r="Y13" s="22"/>
      <c r="Z13" s="22"/>
      <c r="AA13" s="22"/>
      <c r="AB13" s="24"/>
      <c r="AE13" s="110"/>
      <c r="AF13" s="111"/>
      <c r="AG13" s="111"/>
      <c r="AH13" s="112"/>
      <c r="AJ13" s="116"/>
      <c r="AK13" s="147"/>
    </row>
    <row r="14" spans="1:37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4"/>
      <c r="V14" s="22"/>
      <c r="W14" s="22"/>
      <c r="X14" s="22"/>
      <c r="Y14" s="22"/>
      <c r="Z14" s="22"/>
      <c r="AA14" s="22"/>
      <c r="AB14" s="24"/>
    </row>
    <row r="15" spans="1:37" ht="15.75" customHeight="1">
      <c r="A15" s="22"/>
      <c r="B15" s="2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4"/>
      <c r="V15" s="22"/>
      <c r="W15" s="22"/>
      <c r="X15" s="22"/>
      <c r="Y15" s="22"/>
      <c r="Z15" s="22"/>
      <c r="AA15" s="22"/>
      <c r="AB15" s="24"/>
      <c r="AD15" s="76"/>
      <c r="AE15" s="76"/>
      <c r="AF15" s="76"/>
      <c r="AG15" s="76"/>
      <c r="AH15" s="76"/>
      <c r="AI15" s="76"/>
    </row>
    <row r="16" spans="1:37">
      <c r="A16" s="22"/>
      <c r="B16" s="26"/>
      <c r="C16" s="22"/>
      <c r="D16" s="22"/>
      <c r="E16" s="22"/>
      <c r="F16" s="22"/>
      <c r="G16" s="22"/>
      <c r="H16" s="40"/>
      <c r="I16" s="22"/>
      <c r="J16" s="22"/>
      <c r="K16" s="40"/>
      <c r="L16" s="150"/>
      <c r="M16" s="128"/>
      <c r="N16" s="40"/>
      <c r="O16" s="26"/>
      <c r="P16" s="26"/>
      <c r="Q16" s="40"/>
      <c r="R16" s="26"/>
      <c r="S16" s="26"/>
      <c r="T16" s="105"/>
      <c r="U16" s="223"/>
      <c r="V16" s="26"/>
      <c r="W16" s="22"/>
      <c r="X16" s="40"/>
      <c r="Y16" s="26"/>
      <c r="Z16" s="26"/>
      <c r="AA16" s="40"/>
      <c r="AB16" s="127"/>
    </row>
    <row r="17" spans="1:37">
      <c r="A17" s="22"/>
      <c r="B17" s="26"/>
      <c r="C17" s="22"/>
      <c r="D17" s="22"/>
      <c r="E17" s="22"/>
      <c r="F17" s="22"/>
      <c r="G17" s="22"/>
      <c r="H17" s="40"/>
      <c r="I17" s="22"/>
      <c r="J17" s="22"/>
      <c r="K17" s="40"/>
      <c r="L17" s="26"/>
      <c r="M17" s="26"/>
      <c r="N17" s="22"/>
      <c r="O17" s="40"/>
      <c r="P17" s="22"/>
      <c r="Q17" s="22"/>
      <c r="R17" s="22"/>
      <c r="S17" s="22"/>
      <c r="T17" s="22"/>
      <c r="U17" s="24"/>
      <c r="V17" s="22"/>
      <c r="W17" s="22"/>
      <c r="X17" s="22"/>
      <c r="Y17" s="22"/>
      <c r="Z17" s="22"/>
      <c r="AA17" s="22"/>
      <c r="AB17" s="24"/>
    </row>
    <row r="18" spans="1:37">
      <c r="A18" s="22"/>
      <c r="B18" s="26"/>
      <c r="C18" s="22"/>
      <c r="D18" s="22"/>
      <c r="E18" s="22"/>
      <c r="F18" s="22"/>
      <c r="G18" s="22"/>
      <c r="H18" s="22"/>
      <c r="I18" s="22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4"/>
      <c r="V18" s="22"/>
      <c r="W18" s="22"/>
      <c r="X18" s="22"/>
      <c r="Y18" s="22"/>
      <c r="Z18" s="22"/>
      <c r="AA18" s="22"/>
      <c r="AB18" s="24"/>
    </row>
    <row r="19" spans="1:37">
      <c r="A19" s="22"/>
      <c r="B19" s="26"/>
      <c r="C19" s="22"/>
      <c r="D19" s="22"/>
      <c r="E19" s="22"/>
      <c r="F19" s="22"/>
      <c r="G19" s="22"/>
      <c r="H19" s="22"/>
      <c r="I19" s="22"/>
      <c r="J19" s="26"/>
      <c r="K19" s="26"/>
      <c r="L19" s="26"/>
      <c r="M19" s="22"/>
      <c r="N19" s="22"/>
      <c r="O19" s="22"/>
      <c r="P19" s="22"/>
      <c r="Q19" s="22"/>
      <c r="R19" s="22"/>
      <c r="S19" s="22"/>
      <c r="T19" s="22"/>
      <c r="U19" s="24"/>
      <c r="V19" s="22"/>
      <c r="W19" s="22"/>
      <c r="X19" s="22"/>
      <c r="Y19" s="22"/>
      <c r="Z19" s="22"/>
      <c r="AA19" s="22"/>
      <c r="AB19" s="24"/>
    </row>
    <row r="20" spans="1:37" ht="15.75" thickBot="1">
      <c r="A20" s="26"/>
      <c r="B20" s="2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4"/>
      <c r="V20" s="22"/>
      <c r="W20" s="22"/>
      <c r="X20" s="22"/>
      <c r="Y20" s="22"/>
      <c r="Z20" s="22"/>
      <c r="AA20" s="22"/>
      <c r="AB20" s="24"/>
    </row>
    <row r="21" spans="1:37" ht="15.75" thickBot="1">
      <c r="A21" s="22"/>
      <c r="B21" s="2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4"/>
      <c r="V21" s="22"/>
      <c r="W21" s="22"/>
      <c r="X21" s="22"/>
      <c r="Y21" s="22"/>
      <c r="Z21" s="22"/>
      <c r="AA21" s="22"/>
      <c r="AB21" s="24"/>
      <c r="AD21" s="140"/>
    </row>
    <row r="22" spans="1:37" ht="15.75" thickBot="1">
      <c r="A22" s="22"/>
      <c r="B22" s="2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4"/>
      <c r="V22" s="22"/>
      <c r="W22" s="22"/>
      <c r="X22" s="22"/>
      <c r="Y22" s="22"/>
      <c r="Z22" s="22"/>
      <c r="AA22" s="22"/>
      <c r="AB22" s="24"/>
      <c r="AE22" s="110"/>
      <c r="AF22" s="111"/>
      <c r="AG22" s="111"/>
      <c r="AH22" s="111"/>
      <c r="AI22" s="112"/>
      <c r="AJ22" s="116"/>
      <c r="AK22" s="143"/>
    </row>
    <row r="23" spans="1:37">
      <c r="A23" s="22"/>
      <c r="B23" s="2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4"/>
      <c r="V23" s="22"/>
      <c r="W23" s="22"/>
      <c r="X23" s="22"/>
      <c r="Y23" s="22"/>
      <c r="Z23" s="22"/>
      <c r="AA23" s="22"/>
      <c r="AB23" s="24"/>
    </row>
    <row r="24" spans="1:37" ht="15.75" customHeight="1">
      <c r="A24" s="22"/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4"/>
      <c r="V24" s="22"/>
      <c r="W24" s="22"/>
      <c r="X24" s="22"/>
      <c r="Y24" s="22"/>
      <c r="Z24" s="22"/>
      <c r="AA24" s="22"/>
      <c r="AB24" s="24"/>
      <c r="AD24" s="76"/>
      <c r="AE24" s="76"/>
      <c r="AF24" s="76"/>
      <c r="AG24" s="76"/>
      <c r="AH24" s="76"/>
      <c r="AI24" s="76"/>
    </row>
    <row r="25" spans="1:37">
      <c r="A25" s="22"/>
      <c r="B25" s="26"/>
      <c r="C25" s="22"/>
      <c r="D25" s="22"/>
      <c r="E25" s="22"/>
      <c r="F25" s="22"/>
      <c r="G25" s="22"/>
      <c r="H25" s="40"/>
      <c r="I25" s="22"/>
      <c r="J25" s="22"/>
      <c r="K25" s="40"/>
      <c r="L25" s="22"/>
      <c r="M25" s="22"/>
      <c r="N25" s="22"/>
      <c r="O25" s="26"/>
      <c r="P25" s="26"/>
      <c r="Q25" s="40"/>
      <c r="R25" s="26"/>
      <c r="S25" s="26"/>
      <c r="T25" s="105"/>
      <c r="U25" s="223"/>
      <c r="V25" s="26"/>
      <c r="W25" s="22"/>
      <c r="X25" s="40"/>
      <c r="Y25" s="26"/>
      <c r="Z25" s="26"/>
      <c r="AA25" s="40"/>
      <c r="AB25" s="127"/>
    </row>
    <row r="26" spans="1:37">
      <c r="A26" s="22"/>
      <c r="B26" s="26"/>
      <c r="C26" s="22"/>
      <c r="D26" s="22"/>
      <c r="E26" s="22"/>
      <c r="F26" s="22"/>
      <c r="G26" s="22"/>
      <c r="H26" s="40"/>
      <c r="I26" s="22"/>
      <c r="J26" s="22"/>
      <c r="K26" s="22"/>
      <c r="L26" s="22"/>
      <c r="M26" s="22"/>
      <c r="N26" s="22"/>
      <c r="O26" s="40"/>
      <c r="P26" s="22"/>
      <c r="Q26" s="22"/>
      <c r="R26" s="22"/>
      <c r="S26" s="22"/>
      <c r="T26" s="22"/>
      <c r="U26" s="24"/>
      <c r="V26" s="22"/>
      <c r="W26" s="22"/>
      <c r="X26" s="22"/>
      <c r="Y26" s="22"/>
      <c r="Z26" s="22"/>
      <c r="AA26" s="22"/>
      <c r="AB26" s="24"/>
    </row>
    <row r="27" spans="1:37">
      <c r="A27" s="22"/>
      <c r="B27" s="26"/>
      <c r="C27" s="22"/>
      <c r="D27" s="22"/>
      <c r="E27" s="22"/>
      <c r="F27" s="22"/>
      <c r="G27" s="22"/>
      <c r="H27" s="4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4"/>
      <c r="V27" s="22"/>
      <c r="W27" s="22"/>
      <c r="X27" s="22"/>
      <c r="Y27" s="22"/>
      <c r="Z27" s="22"/>
      <c r="AA27" s="22"/>
      <c r="AB27" s="24"/>
    </row>
    <row r="28" spans="1:37">
      <c r="A28" s="22"/>
      <c r="B28" s="26"/>
      <c r="C28" s="22"/>
      <c r="D28" s="22"/>
      <c r="E28" s="22"/>
      <c r="F28" s="22"/>
      <c r="G28" s="22"/>
      <c r="H28" s="22"/>
      <c r="I28" s="22"/>
      <c r="J28" s="26"/>
      <c r="K28" s="26"/>
      <c r="L28" s="26"/>
      <c r="M28" s="22"/>
      <c r="N28" s="22"/>
      <c r="O28" s="22"/>
      <c r="P28" s="22"/>
      <c r="Q28" s="22"/>
      <c r="R28" s="22"/>
      <c r="S28" s="22"/>
      <c r="T28" s="22"/>
      <c r="U28" s="24"/>
      <c r="V28" s="22"/>
      <c r="W28" s="22"/>
      <c r="X28" s="22"/>
      <c r="Y28" s="22"/>
      <c r="Z28" s="22"/>
      <c r="AA28" s="22"/>
      <c r="AB28" s="24"/>
    </row>
    <row r="29" spans="1:37" ht="15.75" thickBot="1">
      <c r="A29" s="22"/>
      <c r="B29" s="26"/>
      <c r="C29" s="22"/>
      <c r="D29" s="22"/>
      <c r="E29" s="22"/>
      <c r="F29" s="22"/>
      <c r="G29" s="22"/>
      <c r="H29" s="22"/>
      <c r="I29" s="22"/>
      <c r="J29" s="26"/>
      <c r="K29" s="26"/>
      <c r="L29" s="26"/>
      <c r="M29" s="22"/>
      <c r="N29" s="22"/>
      <c r="O29" s="22"/>
      <c r="P29" s="22"/>
      <c r="Q29" s="22"/>
      <c r="R29" s="22"/>
      <c r="S29" s="22"/>
      <c r="T29" s="22"/>
      <c r="U29" s="24"/>
      <c r="V29" s="22"/>
      <c r="W29" s="22"/>
      <c r="X29" s="22"/>
      <c r="Y29" s="22"/>
      <c r="Z29" s="22"/>
      <c r="AA29" s="22"/>
      <c r="AB29" s="24"/>
    </row>
    <row r="30" spans="1:37" ht="15.75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4"/>
      <c r="V30" s="22"/>
      <c r="W30" s="22"/>
      <c r="X30" s="22"/>
      <c r="Y30" s="22"/>
      <c r="Z30" s="22"/>
      <c r="AA30" s="22"/>
      <c r="AB30" s="24"/>
      <c r="AD30" s="140"/>
    </row>
    <row r="31" spans="1:37" ht="15.75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8"/>
      <c r="U31" s="29"/>
      <c r="V31" s="28"/>
      <c r="W31" s="28"/>
      <c r="X31" s="28"/>
      <c r="Y31" s="28"/>
      <c r="Z31" s="28"/>
      <c r="AA31" s="28"/>
      <c r="AB31" s="29"/>
      <c r="AE31" s="110"/>
      <c r="AF31" s="111"/>
      <c r="AG31" s="111"/>
      <c r="AH31" s="111"/>
      <c r="AI31" s="112"/>
      <c r="AJ31" s="116"/>
      <c r="AK31" s="143"/>
    </row>
    <row r="32" spans="1:37" ht="15.75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E32" s="26"/>
      <c r="AF32" s="26"/>
      <c r="AG32" s="26"/>
      <c r="AH32" s="26"/>
      <c r="AI32" s="26"/>
      <c r="AJ32" s="26"/>
      <c r="AK32" s="105"/>
    </row>
    <row r="33" spans="30:37" ht="15.75" thickBot="1">
      <c r="AE33" s="110"/>
      <c r="AF33" s="111"/>
      <c r="AG33" s="111"/>
      <c r="AH33" s="111"/>
      <c r="AI33" s="112"/>
      <c r="AJ33" s="144"/>
      <c r="AK33" s="141"/>
    </row>
    <row r="34" spans="30:37" ht="15.75" thickBot="1">
      <c r="AD34" s="140"/>
    </row>
  </sheetData>
  <mergeCells count="2">
    <mergeCell ref="A12:C12"/>
    <mergeCell ref="E12:F1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A3" sqref="A3"/>
    </sheetView>
  </sheetViews>
  <sheetFormatPr defaultRowHeight="15"/>
  <cols>
    <col min="1" max="1" width="3.140625" customWidth="1"/>
    <col min="2" max="2" width="28.42578125" customWidth="1"/>
    <col min="3" max="3" width="7.140625" style="18" customWidth="1"/>
    <col min="4" max="8" width="4.7109375" customWidth="1"/>
    <col min="9" max="9" width="3.85546875" customWidth="1"/>
    <col min="10" max="12" width="4.7109375" customWidth="1"/>
    <col min="13" max="13" width="7.28515625" customWidth="1"/>
    <col min="14" max="14" width="5.85546875" customWidth="1"/>
    <col min="15" max="15" width="5" customWidth="1"/>
    <col min="16" max="16" width="4.7109375" customWidth="1"/>
    <col min="17" max="17" width="6.140625" customWidth="1"/>
    <col min="18" max="18" width="5.7109375" customWidth="1"/>
    <col min="19" max="19" width="4.85546875" customWidth="1"/>
    <col min="20" max="20" width="7.140625" customWidth="1"/>
    <col min="21" max="21" width="4.7109375" customWidth="1"/>
    <col min="22" max="22" width="4.28515625" customWidth="1"/>
    <col min="23" max="23" width="4.7109375" customWidth="1"/>
    <col min="24" max="24" width="4.42578125" customWidth="1"/>
    <col min="25" max="25" width="2.5703125" customWidth="1"/>
    <col min="26" max="27" width="4.7109375" customWidth="1"/>
    <col min="28" max="28" width="7.140625" customWidth="1"/>
    <col min="29" max="31" width="5.7109375" bestFit="1" customWidth="1"/>
    <col min="32" max="32" width="6.7109375" bestFit="1" customWidth="1"/>
    <col min="36" max="36" width="11.85546875" customWidth="1"/>
  </cols>
  <sheetData>
    <row r="1" spans="1:34" ht="15.75" thickBot="1">
      <c r="H1" s="154">
        <v>28</v>
      </c>
      <c r="I1" s="114">
        <v>15</v>
      </c>
      <c r="J1" s="114">
        <v>35</v>
      </c>
      <c r="K1" s="115">
        <v>22</v>
      </c>
      <c r="L1" t="s">
        <v>30</v>
      </c>
    </row>
    <row r="2" spans="1:34" ht="15.75" thickBot="1">
      <c r="A2" t="s">
        <v>125</v>
      </c>
      <c r="H2" s="155">
        <v>354</v>
      </c>
      <c r="I2" s="28">
        <f>I1*$O$2</f>
        <v>189.60000000000002</v>
      </c>
      <c r="J2" s="28">
        <f t="shared" ref="J2:K2" si="0">J1*$O$2</f>
        <v>442.40000000000003</v>
      </c>
      <c r="K2" s="29">
        <f t="shared" si="0"/>
        <v>278.08000000000004</v>
      </c>
      <c r="L2" t="s">
        <v>94</v>
      </c>
      <c r="O2">
        <v>12.64</v>
      </c>
    </row>
    <row r="3" spans="1:34" ht="15.75" thickBot="1">
      <c r="B3" t="s">
        <v>92</v>
      </c>
      <c r="F3" t="s">
        <v>24</v>
      </c>
      <c r="G3">
        <v>290</v>
      </c>
      <c r="H3" s="154">
        <v>144</v>
      </c>
      <c r="I3" s="28">
        <f>I1*$O$3</f>
        <v>77.142857142857153</v>
      </c>
      <c r="J3" s="28">
        <f t="shared" ref="J3:K3" si="1">J1*$O$3</f>
        <v>180</v>
      </c>
      <c r="K3" s="29">
        <f t="shared" si="1"/>
        <v>113.14285714285715</v>
      </c>
      <c r="L3" t="s">
        <v>95</v>
      </c>
      <c r="O3">
        <f>H3/H1</f>
        <v>5.1428571428571432</v>
      </c>
    </row>
    <row r="4" spans="1:34" ht="15.75" thickBot="1">
      <c r="A4" s="157" t="s">
        <v>62</v>
      </c>
      <c r="B4" s="158"/>
      <c r="C4" s="120"/>
      <c r="D4" s="124"/>
      <c r="E4" s="125"/>
      <c r="F4" s="159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76"/>
      <c r="AA4" s="76" t="s">
        <v>26</v>
      </c>
      <c r="AB4" s="76" t="s">
        <v>72</v>
      </c>
      <c r="AC4" s="76" t="s">
        <v>73</v>
      </c>
      <c r="AD4" s="76" t="s">
        <v>74</v>
      </c>
      <c r="AE4" s="76" t="s">
        <v>75</v>
      </c>
      <c r="AF4" s="76" t="s">
        <v>76</v>
      </c>
    </row>
    <row r="5" spans="1:34">
      <c r="A5" s="100"/>
      <c r="B5" s="160" t="s">
        <v>13</v>
      </c>
      <c r="C5" s="161">
        <v>290</v>
      </c>
      <c r="D5" s="100"/>
      <c r="E5" s="101"/>
      <c r="F5" s="102"/>
      <c r="G5" s="27">
        <v>145</v>
      </c>
      <c r="H5" s="162">
        <f>G5/C5</f>
        <v>0.5</v>
      </c>
      <c r="I5" s="163">
        <v>6</v>
      </c>
      <c r="J5" s="163">
        <v>170</v>
      </c>
      <c r="K5" s="162">
        <f>J5/C5</f>
        <v>0.58620689655172409</v>
      </c>
      <c r="L5" s="163">
        <v>6</v>
      </c>
      <c r="M5" s="163">
        <v>6</v>
      </c>
      <c r="N5" s="162"/>
      <c r="O5" s="163"/>
      <c r="P5" s="163"/>
      <c r="Q5" s="164"/>
      <c r="R5" s="165"/>
      <c r="S5" s="165"/>
      <c r="T5" s="165"/>
      <c r="U5" s="162"/>
      <c r="V5" s="166"/>
      <c r="W5" s="166"/>
      <c r="X5" s="162"/>
      <c r="Y5" s="167"/>
      <c r="AA5">
        <f>SUM(AB5:AF5)</f>
        <v>42</v>
      </c>
      <c r="AB5">
        <v>42</v>
      </c>
    </row>
    <row r="6" spans="1:34">
      <c r="A6" s="4"/>
      <c r="B6" s="104" t="s">
        <v>65</v>
      </c>
      <c r="C6" s="107">
        <f>G3*0.8</f>
        <v>232</v>
      </c>
      <c r="D6" s="4"/>
      <c r="E6" s="3"/>
      <c r="F6" s="5"/>
      <c r="G6" s="22">
        <v>120</v>
      </c>
      <c r="H6" s="40">
        <f>G6/C6</f>
        <v>0.51724137931034486</v>
      </c>
      <c r="I6" s="26">
        <v>4</v>
      </c>
      <c r="J6" s="26">
        <v>140</v>
      </c>
      <c r="K6" s="105">
        <f>J6/C6</f>
        <v>0.60344827586206895</v>
      </c>
      <c r="L6" s="26">
        <v>4</v>
      </c>
      <c r="M6" s="26">
        <v>4</v>
      </c>
      <c r="N6" s="105"/>
      <c r="O6" s="128"/>
      <c r="P6" s="128"/>
      <c r="Q6" s="128"/>
      <c r="R6" s="105"/>
      <c r="S6" s="128"/>
      <c r="T6" s="128"/>
      <c r="U6" s="26"/>
      <c r="V6" s="26"/>
      <c r="W6" s="26"/>
      <c r="X6" s="26"/>
      <c r="Y6" s="127"/>
      <c r="AA6">
        <f>SUM(AB6:AF7)</f>
        <v>20</v>
      </c>
      <c r="AB6">
        <v>20</v>
      </c>
    </row>
    <row r="7" spans="1:34">
      <c r="A7" s="4"/>
      <c r="B7" s="103" t="s">
        <v>66</v>
      </c>
      <c r="C7" s="107"/>
      <c r="D7" s="4">
        <v>30</v>
      </c>
      <c r="E7" s="3">
        <v>5</v>
      </c>
      <c r="F7" s="5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AA7">
        <f>E7*F7</f>
        <v>20</v>
      </c>
    </row>
    <row r="8" spans="1:34">
      <c r="A8" s="4"/>
      <c r="B8" s="103" t="s">
        <v>32</v>
      </c>
      <c r="C8" s="107"/>
      <c r="D8" s="4">
        <v>70</v>
      </c>
      <c r="E8" s="3">
        <v>6</v>
      </c>
      <c r="F8" s="5">
        <v>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AA8">
        <f>E8*F8</f>
        <v>24</v>
      </c>
    </row>
    <row r="9" spans="1:34">
      <c r="A9" s="4"/>
      <c r="B9" s="108" t="s">
        <v>109</v>
      </c>
      <c r="C9" s="107"/>
      <c r="D9" s="4">
        <v>40</v>
      </c>
      <c r="E9" s="3">
        <v>4</v>
      </c>
      <c r="F9" s="5">
        <v>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  <c r="AA9">
        <f>E9*F9</f>
        <v>16</v>
      </c>
    </row>
    <row r="10" spans="1:34">
      <c r="A10" s="4"/>
      <c r="B10" s="108" t="s">
        <v>81</v>
      </c>
      <c r="C10" s="107"/>
      <c r="D10" s="4">
        <v>55</v>
      </c>
      <c r="E10" s="3">
        <v>5</v>
      </c>
      <c r="F10" s="5">
        <v>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AA10">
        <f>E10*F10</f>
        <v>25</v>
      </c>
    </row>
    <row r="11" spans="1:34" ht="15.75" thickBot="1">
      <c r="A11" s="4"/>
      <c r="B11" s="16"/>
      <c r="C11" s="107"/>
      <c r="D11" s="4"/>
      <c r="E11" s="3"/>
      <c r="F11" s="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AA11">
        <f>SUM(AA5:AA10)</f>
        <v>147</v>
      </c>
      <c r="AG11" t="s">
        <v>26</v>
      </c>
      <c r="AH11" t="s">
        <v>77</v>
      </c>
    </row>
    <row r="12" spans="1:34" ht="15.75" thickBot="1">
      <c r="A12" s="4"/>
      <c r="B12" s="16"/>
      <c r="C12" s="107"/>
      <c r="D12" s="4"/>
      <c r="E12" s="3"/>
      <c r="F12" s="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AB12" s="110">
        <f>AB6+AB5</f>
        <v>62</v>
      </c>
      <c r="AC12" s="111">
        <f>AC6+AC5</f>
        <v>0</v>
      </c>
      <c r="AD12" s="112">
        <f>AD6+AD5</f>
        <v>0</v>
      </c>
      <c r="AG12" s="116">
        <f>SUM(AB12:AF12)</f>
        <v>62</v>
      </c>
      <c r="AH12" s="130">
        <f>(0.55*AB12+0.65*AC12+0.75*AD12)/AG12</f>
        <v>0.55000000000000004</v>
      </c>
    </row>
    <row r="13" spans="1:34">
      <c r="A13" s="4" t="s">
        <v>31</v>
      </c>
      <c r="B13" s="16"/>
      <c r="C13" s="107"/>
      <c r="D13" s="4"/>
      <c r="E13" s="3"/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4"/>
    </row>
    <row r="14" spans="1:34">
      <c r="A14" s="4"/>
      <c r="B14" s="104" t="s">
        <v>68</v>
      </c>
      <c r="C14" s="107">
        <f>G3*0.8</f>
        <v>232</v>
      </c>
      <c r="D14" s="4"/>
      <c r="E14" s="3"/>
      <c r="F14" s="5"/>
      <c r="G14" s="22">
        <v>120</v>
      </c>
      <c r="H14" s="40">
        <f>G14/C14</f>
        <v>0.51724137931034486</v>
      </c>
      <c r="I14" s="26">
        <v>4</v>
      </c>
      <c r="J14" s="26">
        <v>145</v>
      </c>
      <c r="K14" s="40">
        <f>J14/C14</f>
        <v>0.625</v>
      </c>
      <c r="L14" s="26">
        <v>4</v>
      </c>
      <c r="M14" s="156">
        <v>165</v>
      </c>
      <c r="N14" s="40">
        <f>M14/C14</f>
        <v>0.71120689655172409</v>
      </c>
      <c r="O14" s="26">
        <v>3</v>
      </c>
      <c r="P14" s="26">
        <v>5</v>
      </c>
      <c r="Q14" s="26"/>
      <c r="R14" s="40"/>
      <c r="S14" s="26"/>
      <c r="T14" s="26"/>
      <c r="U14" s="26"/>
      <c r="V14" s="26"/>
      <c r="W14" s="26"/>
      <c r="X14" s="26"/>
      <c r="Y14" s="24"/>
      <c r="AA14">
        <f>SUM(AB14:AF14)</f>
        <v>23</v>
      </c>
      <c r="AB14">
        <v>4</v>
      </c>
      <c r="AC14">
        <v>4</v>
      </c>
      <c r="AD14">
        <v>15</v>
      </c>
    </row>
    <row r="15" spans="1:34">
      <c r="A15" s="4"/>
      <c r="B15" s="104" t="s">
        <v>67</v>
      </c>
      <c r="C15" s="107">
        <f>G3*1.1</f>
        <v>319</v>
      </c>
      <c r="D15" s="4"/>
      <c r="E15" s="3"/>
      <c r="F15" s="5"/>
      <c r="G15" s="22">
        <v>200</v>
      </c>
      <c r="H15" s="40">
        <f>G15/C15</f>
        <v>0.62695924764890287</v>
      </c>
      <c r="I15" s="26">
        <v>4</v>
      </c>
      <c r="J15" s="26">
        <v>225</v>
      </c>
      <c r="K15" s="40">
        <f>J15/C15</f>
        <v>0.70532915360501569</v>
      </c>
      <c r="L15" s="26">
        <v>3</v>
      </c>
      <c r="M15" s="26">
        <v>5</v>
      </c>
      <c r="N15" s="230" t="s">
        <v>123</v>
      </c>
      <c r="O15" s="26"/>
      <c r="P15" s="26"/>
      <c r="Q15" s="26"/>
      <c r="R15" s="40"/>
      <c r="S15" s="26"/>
      <c r="T15" s="26"/>
      <c r="U15" s="105"/>
      <c r="V15" s="26"/>
      <c r="W15" s="26"/>
      <c r="X15" s="105"/>
      <c r="Y15" s="24"/>
      <c r="AA15">
        <f>SUM(AB15:AE15)</f>
        <v>19</v>
      </c>
      <c r="AC15">
        <v>4</v>
      </c>
      <c r="AD15">
        <v>15</v>
      </c>
    </row>
    <row r="16" spans="1:34">
      <c r="A16" s="4"/>
      <c r="B16" s="103" t="s">
        <v>71</v>
      </c>
      <c r="C16" s="107"/>
      <c r="D16" s="4">
        <v>70</v>
      </c>
      <c r="E16" s="3">
        <v>6</v>
      </c>
      <c r="F16" s="5">
        <v>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4"/>
      <c r="AA16">
        <f>E16*F16</f>
        <v>36</v>
      </c>
    </row>
    <row r="17" spans="1:34">
      <c r="A17" s="4"/>
      <c r="B17" s="108" t="s">
        <v>122</v>
      </c>
      <c r="C17" s="107"/>
      <c r="D17" s="19">
        <v>26</v>
      </c>
      <c r="E17" s="20">
        <v>5</v>
      </c>
      <c r="F17" s="21">
        <v>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4"/>
      <c r="AA17">
        <f t="shared" ref="AA17:AA18" si="2">E17*F17</f>
        <v>25</v>
      </c>
    </row>
    <row r="18" spans="1:34">
      <c r="A18" s="4"/>
      <c r="B18" s="108" t="s">
        <v>82</v>
      </c>
      <c r="C18" s="107"/>
      <c r="D18" s="19">
        <v>60</v>
      </c>
      <c r="E18" s="20">
        <v>5</v>
      </c>
      <c r="F18" s="21">
        <v>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AA18">
        <f t="shared" si="2"/>
        <v>25</v>
      </c>
    </row>
    <row r="19" spans="1:34" ht="15.75" thickBot="1">
      <c r="A19" s="4"/>
      <c r="B19" s="16"/>
      <c r="C19" s="107"/>
      <c r="D19" s="4"/>
      <c r="E19" s="3"/>
      <c r="F19" s="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AA19">
        <f>SUM(AA14:AA18)</f>
        <v>128</v>
      </c>
    </row>
    <row r="20" spans="1:34" ht="15.75" thickBot="1">
      <c r="A20" s="4"/>
      <c r="B20" s="16"/>
      <c r="C20" s="107"/>
      <c r="D20" s="4"/>
      <c r="E20" s="3"/>
      <c r="F20" s="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  <c r="AB20" s="110">
        <f>SUM(AB14:AB19)</f>
        <v>4</v>
      </c>
      <c r="AC20" s="111">
        <f t="shared" ref="AC20:AE20" si="3">SUM(AC14:AC19)</f>
        <v>8</v>
      </c>
      <c r="AD20" s="111">
        <f t="shared" si="3"/>
        <v>30</v>
      </c>
      <c r="AE20" s="111">
        <f t="shared" si="3"/>
        <v>0</v>
      </c>
      <c r="AF20" s="112"/>
      <c r="AG20" s="117">
        <f>SUM(AB20:AF20)</f>
        <v>42</v>
      </c>
      <c r="AH20" s="130">
        <f>(0.55*AB20+0.65*AC20+0.75*AD20+0.85*AE20+0.95*AF20)/AG20</f>
        <v>0.71190476190476182</v>
      </c>
    </row>
    <row r="21" spans="1:34" ht="14.25" customHeight="1">
      <c r="A21" s="284" t="s">
        <v>98</v>
      </c>
      <c r="B21" s="285"/>
      <c r="C21" s="107"/>
      <c r="D21" s="4"/>
      <c r="E21" s="3"/>
      <c r="F21" s="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  <c r="AB21" s="26"/>
      <c r="AC21" s="26"/>
      <c r="AD21" s="26"/>
      <c r="AE21" s="26"/>
      <c r="AF21" s="26"/>
      <c r="AG21" s="26"/>
      <c r="AH21" s="194"/>
    </row>
    <row r="22" spans="1:34">
      <c r="A22" s="196"/>
      <c r="B22" s="104" t="s">
        <v>17</v>
      </c>
      <c r="C22" s="107">
        <v>240</v>
      </c>
      <c r="D22" s="201">
        <v>240</v>
      </c>
      <c r="E22" s="3"/>
      <c r="F22" s="5"/>
      <c r="G22" s="22">
        <v>140</v>
      </c>
      <c r="H22" s="40">
        <f>G22/C22</f>
        <v>0.58333333333333337</v>
      </c>
      <c r="I22" s="22">
        <v>5</v>
      </c>
      <c r="J22" s="22">
        <v>160</v>
      </c>
      <c r="K22" s="40">
        <f>J22/C22</f>
        <v>0.66666666666666663</v>
      </c>
      <c r="L22" s="26">
        <v>5</v>
      </c>
      <c r="M22" s="26">
        <v>190</v>
      </c>
      <c r="N22" s="40">
        <f>M22/C22</f>
        <v>0.79166666666666663</v>
      </c>
      <c r="O22" s="26">
        <v>4</v>
      </c>
      <c r="P22" s="26">
        <v>200</v>
      </c>
      <c r="Q22" s="40">
        <f>P22/C22</f>
        <v>0.83333333333333337</v>
      </c>
      <c r="R22" s="26">
        <v>2</v>
      </c>
      <c r="S22" s="26">
        <v>210</v>
      </c>
      <c r="T22" s="40">
        <f>S22/C22</f>
        <v>0.875</v>
      </c>
      <c r="U22" s="26">
        <v>2</v>
      </c>
      <c r="V22" s="22"/>
      <c r="W22" s="22"/>
      <c r="X22" s="22"/>
      <c r="Y22" s="24"/>
      <c r="AA22">
        <f>SUM(AB22:AF22)</f>
        <v>18</v>
      </c>
      <c r="AB22">
        <v>5</v>
      </c>
      <c r="AC22">
        <v>5</v>
      </c>
      <c r="AD22">
        <v>4</v>
      </c>
      <c r="AE22">
        <v>4</v>
      </c>
      <c r="AG22" s="26"/>
      <c r="AH22" s="194"/>
    </row>
    <row r="23" spans="1:34">
      <c r="A23" s="196"/>
      <c r="B23" s="231" t="s">
        <v>13</v>
      </c>
      <c r="C23" s="107">
        <v>290</v>
      </c>
      <c r="D23" s="201">
        <v>280</v>
      </c>
      <c r="E23" s="3"/>
      <c r="F23" s="5"/>
      <c r="G23" s="22">
        <v>145</v>
      </c>
      <c r="H23" s="40">
        <f>G23/C23</f>
        <v>0.5</v>
      </c>
      <c r="I23" s="22">
        <v>4</v>
      </c>
      <c r="J23" s="22">
        <v>170</v>
      </c>
      <c r="K23" s="40">
        <f>J23/C23</f>
        <v>0.58620689655172409</v>
      </c>
      <c r="L23" s="26">
        <v>4</v>
      </c>
      <c r="M23" s="26">
        <v>200</v>
      </c>
      <c r="N23" s="40">
        <f>M23/C23</f>
        <v>0.68965517241379315</v>
      </c>
      <c r="O23" s="26">
        <v>4</v>
      </c>
      <c r="P23" s="26">
        <v>225</v>
      </c>
      <c r="Q23" s="40">
        <f>P23/C23</f>
        <v>0.77586206896551724</v>
      </c>
      <c r="R23" s="26">
        <v>3</v>
      </c>
      <c r="S23" s="26">
        <v>2</v>
      </c>
      <c r="T23" s="26">
        <v>237.5</v>
      </c>
      <c r="U23" s="40">
        <f>T23/C23</f>
        <v>0.81896551724137934</v>
      </c>
      <c r="V23" s="26">
        <v>2</v>
      </c>
      <c r="W23" s="26">
        <v>2</v>
      </c>
      <c r="X23" s="22"/>
      <c r="Y23" s="24"/>
      <c r="AA23">
        <f>SUM(AB23:AE23)</f>
        <v>22</v>
      </c>
      <c r="AB23">
        <v>8</v>
      </c>
      <c r="AC23">
        <v>4</v>
      </c>
      <c r="AD23">
        <v>6</v>
      </c>
      <c r="AE23">
        <v>4</v>
      </c>
      <c r="AG23" s="26"/>
      <c r="AH23" s="194"/>
    </row>
    <row r="24" spans="1:34">
      <c r="A24" s="198"/>
      <c r="B24" s="232" t="s">
        <v>33</v>
      </c>
      <c r="C24" s="107"/>
      <c r="D24" s="4">
        <v>40</v>
      </c>
      <c r="E24" s="3">
        <v>5</v>
      </c>
      <c r="F24" s="5">
        <v>5</v>
      </c>
      <c r="G24" s="22"/>
      <c r="H24" s="4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/>
      <c r="AA24">
        <f>E24*F24</f>
        <v>25</v>
      </c>
      <c r="AB24" s="26"/>
      <c r="AC24" s="26"/>
      <c r="AD24" s="26"/>
      <c r="AE24" s="26"/>
      <c r="AF24" s="26"/>
      <c r="AG24" s="26"/>
      <c r="AH24" s="194"/>
    </row>
    <row r="25" spans="1:34">
      <c r="A25" s="62"/>
      <c r="B25" s="199" t="s">
        <v>102</v>
      </c>
      <c r="C25" s="107"/>
      <c r="D25" s="4">
        <v>55</v>
      </c>
      <c r="E25" s="3">
        <v>3</v>
      </c>
      <c r="F25" s="5">
        <v>2</v>
      </c>
      <c r="G25" s="26">
        <v>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AA25">
        <v>8</v>
      </c>
      <c r="AB25" s="26"/>
      <c r="AC25" s="26"/>
      <c r="AD25" s="26"/>
      <c r="AE25" s="26"/>
      <c r="AF25" s="26"/>
      <c r="AG25" s="26"/>
      <c r="AH25" s="194"/>
    </row>
    <row r="26" spans="1:34">
      <c r="A26" s="62"/>
      <c r="B26" s="199" t="s">
        <v>116</v>
      </c>
      <c r="C26" s="107"/>
      <c r="D26" s="4">
        <v>35</v>
      </c>
      <c r="E26" s="3">
        <v>3</v>
      </c>
      <c r="F26" s="5">
        <v>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/>
      <c r="AA26">
        <f t="shared" ref="AA26" si="4">E26*F26</f>
        <v>6</v>
      </c>
      <c r="AB26" s="26"/>
      <c r="AC26" s="26"/>
      <c r="AD26" s="26"/>
      <c r="AE26" s="26"/>
      <c r="AF26" s="26"/>
      <c r="AG26" s="26"/>
      <c r="AH26" s="194"/>
    </row>
    <row r="27" spans="1:34" ht="15.75" thickBot="1">
      <c r="A27" s="19"/>
      <c r="B27" s="92"/>
      <c r="C27" s="107"/>
      <c r="D27" s="200"/>
      <c r="E27" s="3"/>
      <c r="F27" s="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/>
      <c r="AA27">
        <f>SUM(AA22:AA26)</f>
        <v>79</v>
      </c>
      <c r="AB27" s="26"/>
      <c r="AC27" s="26"/>
      <c r="AD27" s="26"/>
      <c r="AE27" s="26"/>
      <c r="AF27" s="26"/>
      <c r="AG27" s="26"/>
      <c r="AH27" s="194"/>
    </row>
    <row r="28" spans="1:34" ht="15.75" thickBot="1">
      <c r="A28" s="6"/>
      <c r="B28" s="7"/>
      <c r="C28" s="233"/>
      <c r="D28" s="234"/>
      <c r="E28" s="7"/>
      <c r="F28" s="21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AB28" s="110">
        <f>SUM(AB22:AB23)</f>
        <v>13</v>
      </c>
      <c r="AC28" s="111">
        <f t="shared" ref="AC28:AE28" si="5">SUM(AC22:AC23)</f>
        <v>9</v>
      </c>
      <c r="AD28" s="111">
        <f t="shared" si="5"/>
        <v>10</v>
      </c>
      <c r="AE28" s="111">
        <f t="shared" si="5"/>
        <v>8</v>
      </c>
      <c r="AF28" s="112"/>
      <c r="AG28" s="117">
        <f>SUM(AB28:AF28)</f>
        <v>40</v>
      </c>
      <c r="AH28" s="130">
        <f>(0.55*AB28+0.65*AC28+0.75*AD28+0.85*AE28+0.95*AF28)/AG28</f>
        <v>0.6825</v>
      </c>
    </row>
    <row r="30" spans="1:34" ht="15.75" thickBot="1">
      <c r="AA30">
        <f>AA19+AA11+AA27</f>
        <v>354</v>
      </c>
    </row>
    <row r="31" spans="1:34" ht="15.75" thickBot="1">
      <c r="AB31" s="116">
        <f>+AB20+AB12+AB28</f>
        <v>79</v>
      </c>
      <c r="AC31" s="117">
        <f t="shared" ref="AC31:AF31" si="6">+AC20+AC12+AC28</f>
        <v>17</v>
      </c>
      <c r="AD31" s="117">
        <f t="shared" si="6"/>
        <v>40</v>
      </c>
      <c r="AE31" s="117">
        <f t="shared" si="6"/>
        <v>8</v>
      </c>
      <c r="AF31" s="118">
        <f t="shared" si="6"/>
        <v>0</v>
      </c>
      <c r="AG31" s="195">
        <f>AB31+AC31+AD31+AE31+AF31</f>
        <v>144</v>
      </c>
      <c r="AH31" s="133">
        <f>(0.55*AB31+0.65*AC31+0.75*AD31+0.85*AE31+0.95*AF31)/AG31</f>
        <v>0.63402777777777775</v>
      </c>
    </row>
  </sheetData>
  <mergeCells count="1">
    <mergeCell ref="A21:B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>
      <selection activeCell="N5" sqref="N5"/>
    </sheetView>
  </sheetViews>
  <sheetFormatPr defaultRowHeight="15"/>
  <cols>
    <col min="1" max="1" width="3.140625" customWidth="1"/>
    <col min="2" max="2" width="28.42578125" customWidth="1"/>
    <col min="3" max="3" width="7.140625" style="18" customWidth="1"/>
    <col min="4" max="8" width="4.7109375" customWidth="1"/>
    <col min="9" max="9" width="4" customWidth="1"/>
    <col min="10" max="11" width="4.7109375" customWidth="1"/>
    <col min="12" max="12" width="4" customWidth="1"/>
    <col min="13" max="13" width="5.42578125" customWidth="1"/>
    <col min="14" max="14" width="5.85546875" customWidth="1"/>
    <col min="15" max="15" width="5" customWidth="1"/>
    <col min="16" max="16" width="4.7109375" customWidth="1"/>
    <col min="17" max="17" width="6.140625" customWidth="1"/>
    <col min="18" max="18" width="2.85546875" customWidth="1"/>
    <col min="19" max="19" width="6.140625" customWidth="1"/>
    <col min="20" max="20" width="5" customWidth="1"/>
    <col min="21" max="21" width="2.42578125" customWidth="1"/>
    <col min="22" max="23" width="4.28515625" customWidth="1"/>
    <col min="24" max="24" width="4.42578125" customWidth="1"/>
    <col min="25" max="25" width="2.5703125" customWidth="1"/>
    <col min="26" max="27" width="4.7109375" customWidth="1"/>
    <col min="28" max="28" width="7.140625" customWidth="1"/>
    <col min="29" max="31" width="5.7109375" bestFit="1" customWidth="1"/>
    <col min="32" max="32" width="6.7109375" bestFit="1" customWidth="1"/>
    <col min="36" max="36" width="11.85546875" customWidth="1"/>
  </cols>
  <sheetData>
    <row r="1" spans="1:34" ht="15.75" thickBot="1">
      <c r="H1" s="192">
        <v>28</v>
      </c>
      <c r="I1" s="135">
        <v>15</v>
      </c>
      <c r="J1" s="114">
        <v>35</v>
      </c>
      <c r="K1" s="115">
        <v>22</v>
      </c>
      <c r="L1" t="s">
        <v>30</v>
      </c>
    </row>
    <row r="2" spans="1:34" ht="15.75" thickBot="1">
      <c r="A2" t="s">
        <v>125</v>
      </c>
      <c r="H2" s="193">
        <v>354</v>
      </c>
      <c r="I2" s="134">
        <f>I1*$O$2</f>
        <v>189.60000000000002</v>
      </c>
      <c r="J2" s="28">
        <f t="shared" ref="J2:K2" si="0">J1*$O$2</f>
        <v>442.40000000000003</v>
      </c>
      <c r="K2" s="29">
        <f t="shared" si="0"/>
        <v>278.08000000000004</v>
      </c>
      <c r="L2" t="s">
        <v>94</v>
      </c>
      <c r="O2">
        <v>12.64</v>
      </c>
    </row>
    <row r="3" spans="1:34" ht="15.75" thickBot="1">
      <c r="B3" t="s">
        <v>92</v>
      </c>
      <c r="F3" t="s">
        <v>24</v>
      </c>
      <c r="G3">
        <v>290</v>
      </c>
      <c r="H3" s="192">
        <v>144</v>
      </c>
      <c r="I3" s="134">
        <f>I1*$O$3</f>
        <v>77.142857142857153</v>
      </c>
      <c r="J3" s="28">
        <f t="shared" ref="J3:K3" si="1">J1*$O$3</f>
        <v>180</v>
      </c>
      <c r="K3" s="29">
        <f t="shared" si="1"/>
        <v>113.14285714285715</v>
      </c>
      <c r="L3" t="s">
        <v>95</v>
      </c>
      <c r="O3">
        <f>H3/H1</f>
        <v>5.1428571428571432</v>
      </c>
    </row>
    <row r="4" spans="1:34" ht="15.75" thickBot="1">
      <c r="A4" s="157" t="s">
        <v>62</v>
      </c>
      <c r="B4" s="158"/>
      <c r="C4" s="120"/>
      <c r="D4" s="124"/>
      <c r="E4" s="125"/>
      <c r="F4" s="159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76"/>
      <c r="AA4" s="76" t="s">
        <v>26</v>
      </c>
      <c r="AB4" s="76" t="s">
        <v>72</v>
      </c>
      <c r="AC4" s="76" t="s">
        <v>73</v>
      </c>
      <c r="AD4" s="76" t="s">
        <v>74</v>
      </c>
      <c r="AE4" s="76" t="s">
        <v>75</v>
      </c>
      <c r="AF4" s="76" t="s">
        <v>76</v>
      </c>
    </row>
    <row r="5" spans="1:34">
      <c r="A5" s="100"/>
      <c r="B5" s="160" t="s">
        <v>13</v>
      </c>
      <c r="C5" s="161">
        <v>290</v>
      </c>
      <c r="D5" s="100"/>
      <c r="E5" s="101"/>
      <c r="F5" s="102"/>
      <c r="G5" s="27">
        <v>145</v>
      </c>
      <c r="H5" s="162">
        <f>G5/C5</f>
        <v>0.5</v>
      </c>
      <c r="I5" s="163">
        <v>6</v>
      </c>
      <c r="J5" s="163">
        <v>170</v>
      </c>
      <c r="K5" s="162">
        <f>J5/C5</f>
        <v>0.58620689655172409</v>
      </c>
      <c r="L5" s="163">
        <v>5</v>
      </c>
      <c r="M5" s="163">
        <v>200</v>
      </c>
      <c r="N5" s="162">
        <f>M5/C5</f>
        <v>0.68965517241379315</v>
      </c>
      <c r="O5" s="163">
        <v>4</v>
      </c>
      <c r="P5" s="163">
        <v>220</v>
      </c>
      <c r="Q5" s="164">
        <f>P5/C5</f>
        <v>0.75862068965517238</v>
      </c>
      <c r="R5" s="165">
        <v>3</v>
      </c>
      <c r="S5" s="165">
        <v>242.5</v>
      </c>
      <c r="T5" s="162">
        <f>S5/C5</f>
        <v>0.83620689655172409</v>
      </c>
      <c r="U5" s="166">
        <v>3</v>
      </c>
      <c r="V5" s="166">
        <v>2</v>
      </c>
      <c r="W5" s="166">
        <v>250</v>
      </c>
      <c r="X5" s="162">
        <f>W5/C5</f>
        <v>0.86206896551724133</v>
      </c>
      <c r="Y5" s="167">
        <v>1</v>
      </c>
      <c r="AA5">
        <f>SUM(AB5:AF5)</f>
        <v>25</v>
      </c>
      <c r="AB5">
        <v>11</v>
      </c>
      <c r="AC5">
        <v>4</v>
      </c>
      <c r="AD5">
        <v>3</v>
      </c>
      <c r="AE5">
        <v>7</v>
      </c>
    </row>
    <row r="6" spans="1:34">
      <c r="A6" s="4"/>
      <c r="B6" s="104" t="s">
        <v>70</v>
      </c>
      <c r="C6" s="107">
        <f>G3*1.03</f>
        <v>298.7</v>
      </c>
      <c r="D6" s="4"/>
      <c r="E6" s="3"/>
      <c r="F6" s="5"/>
      <c r="G6" s="22">
        <v>260</v>
      </c>
      <c r="H6" s="40">
        <f>G6/C6</f>
        <v>0.87043856712420498</v>
      </c>
      <c r="I6" s="26">
        <v>2</v>
      </c>
      <c r="J6" s="26">
        <v>2</v>
      </c>
      <c r="K6" s="105"/>
      <c r="L6" s="26"/>
      <c r="M6" s="26"/>
      <c r="N6" s="105"/>
      <c r="O6" s="128"/>
      <c r="P6" s="128"/>
      <c r="Q6" s="128"/>
      <c r="R6" s="105"/>
      <c r="S6" s="128"/>
      <c r="T6" s="128"/>
      <c r="U6" s="26"/>
      <c r="V6" s="26"/>
      <c r="W6" s="26"/>
      <c r="X6" s="26"/>
      <c r="Y6" s="127"/>
      <c r="AA6">
        <f>SUM(AB6:AF7)</f>
        <v>4</v>
      </c>
      <c r="AE6">
        <v>4</v>
      </c>
    </row>
    <row r="7" spans="1:34">
      <c r="A7" s="4"/>
      <c r="B7" s="103" t="s">
        <v>66</v>
      </c>
      <c r="C7" s="107"/>
      <c r="D7" s="4">
        <v>35</v>
      </c>
      <c r="E7" s="3">
        <v>4</v>
      </c>
      <c r="F7" s="5">
        <v>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AA7">
        <f>E7*F7</f>
        <v>12</v>
      </c>
    </row>
    <row r="8" spans="1:34">
      <c r="A8" s="4"/>
      <c r="B8" s="103" t="s">
        <v>32</v>
      </c>
      <c r="C8" s="107"/>
      <c r="D8" s="4">
        <v>100</v>
      </c>
      <c r="E8" s="3">
        <v>4</v>
      </c>
      <c r="F8" s="5">
        <v>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AA8">
        <f>E8*F8</f>
        <v>12</v>
      </c>
    </row>
    <row r="9" spans="1:34">
      <c r="A9" s="4"/>
      <c r="B9" s="108" t="s">
        <v>124</v>
      </c>
      <c r="C9" s="107"/>
      <c r="D9" s="4">
        <v>30</v>
      </c>
      <c r="E9" s="3">
        <v>3</v>
      </c>
      <c r="F9" s="5">
        <v>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  <c r="AA9">
        <f>E9*F9</f>
        <v>6</v>
      </c>
    </row>
    <row r="10" spans="1:34">
      <c r="A10" s="4"/>
      <c r="B10" s="108" t="s">
        <v>81</v>
      </c>
      <c r="C10" s="107"/>
      <c r="D10" s="4">
        <v>70</v>
      </c>
      <c r="E10" s="3">
        <v>4</v>
      </c>
      <c r="F10" s="5">
        <v>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AA10">
        <f>E10*F10</f>
        <v>8</v>
      </c>
    </row>
    <row r="11" spans="1:34" ht="15.75" thickBot="1">
      <c r="A11" s="4"/>
      <c r="B11" s="16"/>
      <c r="C11" s="107"/>
      <c r="D11" s="4"/>
      <c r="E11" s="3"/>
      <c r="F11" s="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AA11">
        <f>SUM(AA5:AA10)</f>
        <v>67</v>
      </c>
      <c r="AG11" t="s">
        <v>26</v>
      </c>
      <c r="AH11" t="s">
        <v>77</v>
      </c>
    </row>
    <row r="12" spans="1:34" ht="15.75" thickBot="1">
      <c r="A12" s="4"/>
      <c r="B12" s="16"/>
      <c r="C12" s="107"/>
      <c r="D12" s="4"/>
      <c r="E12" s="3"/>
      <c r="F12" s="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AB12" s="110">
        <f>AB6+AB5</f>
        <v>11</v>
      </c>
      <c r="AC12" s="111">
        <f>AC6+AC5</f>
        <v>4</v>
      </c>
      <c r="AD12" s="111">
        <f>AD6+AD5</f>
        <v>3</v>
      </c>
      <c r="AE12" s="112">
        <f>AE6+AE5</f>
        <v>11</v>
      </c>
      <c r="AG12" s="116">
        <f>SUM(AB12:AF12)</f>
        <v>29</v>
      </c>
      <c r="AH12" s="130">
        <f>(0.55*AB12+0.65*AC12+0.75*AD12+0.85*AE12)/AG12</f>
        <v>0.69827586206896552</v>
      </c>
    </row>
    <row r="13" spans="1:34">
      <c r="A13" s="4" t="s">
        <v>63</v>
      </c>
      <c r="B13" s="16"/>
      <c r="C13" s="107"/>
      <c r="D13" s="4"/>
      <c r="E13" s="3"/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4"/>
    </row>
    <row r="14" spans="1:34">
      <c r="A14" s="4"/>
      <c r="B14" s="104" t="s">
        <v>68</v>
      </c>
      <c r="C14" s="107">
        <f>G3*0.8</f>
        <v>232</v>
      </c>
      <c r="D14" s="4"/>
      <c r="E14" s="3"/>
      <c r="F14" s="5"/>
      <c r="G14" s="22">
        <v>120</v>
      </c>
      <c r="H14" s="40">
        <f>G14/C14</f>
        <v>0.51724137931034486</v>
      </c>
      <c r="I14" s="26">
        <v>4</v>
      </c>
      <c r="J14" s="26">
        <v>150</v>
      </c>
      <c r="K14" s="40">
        <f>J14/C14</f>
        <v>0.64655172413793105</v>
      </c>
      <c r="L14" s="26">
        <v>3</v>
      </c>
      <c r="M14" s="156">
        <v>175</v>
      </c>
      <c r="N14" s="40">
        <f>M14/C14</f>
        <v>0.75431034482758619</v>
      </c>
      <c r="O14" s="26">
        <v>2</v>
      </c>
      <c r="P14" s="26">
        <v>4</v>
      </c>
      <c r="Q14" s="26"/>
      <c r="R14" s="40"/>
      <c r="S14" s="26"/>
      <c r="T14" s="26"/>
      <c r="U14" s="26"/>
      <c r="V14" s="26"/>
      <c r="W14" s="26"/>
      <c r="X14" s="26"/>
      <c r="Y14" s="24"/>
      <c r="AA14">
        <f>SUM(AB14:AF14)</f>
        <v>15</v>
      </c>
      <c r="AB14">
        <v>4</v>
      </c>
      <c r="AC14">
        <v>3</v>
      </c>
      <c r="AD14">
        <v>8</v>
      </c>
    </row>
    <row r="15" spans="1:34">
      <c r="A15" s="4"/>
      <c r="B15" s="104" t="s">
        <v>64</v>
      </c>
      <c r="C15" s="107">
        <v>290</v>
      </c>
      <c r="D15" s="4"/>
      <c r="E15" s="3"/>
      <c r="F15" s="5"/>
      <c r="G15" s="22">
        <v>180</v>
      </c>
      <c r="H15" s="40">
        <f>G15/C15</f>
        <v>0.62068965517241381</v>
      </c>
      <c r="I15" s="26">
        <v>3</v>
      </c>
      <c r="J15" s="26">
        <v>185</v>
      </c>
      <c r="K15" s="40">
        <f>J15/C15</f>
        <v>0.63793103448275867</v>
      </c>
      <c r="L15" s="26">
        <v>3</v>
      </c>
      <c r="M15" s="26">
        <v>190</v>
      </c>
      <c r="N15" s="105">
        <f>M15/C15</f>
        <v>0.65517241379310343</v>
      </c>
      <c r="O15" s="26">
        <v>2</v>
      </c>
      <c r="P15" s="26">
        <v>195</v>
      </c>
      <c r="Q15" s="105">
        <f>P15/C15</f>
        <v>0.67241379310344829</v>
      </c>
      <c r="R15" s="150">
        <v>2</v>
      </c>
      <c r="S15" s="128">
        <v>2</v>
      </c>
      <c r="T15" s="26"/>
      <c r="U15" s="105"/>
      <c r="V15" s="26"/>
      <c r="W15" s="26"/>
      <c r="X15" s="105"/>
      <c r="Y15" s="24"/>
      <c r="AA15">
        <f>SUM(AB15:AE15)</f>
        <v>12</v>
      </c>
      <c r="AC15">
        <v>12</v>
      </c>
    </row>
    <row r="16" spans="1:34">
      <c r="A16" s="4"/>
      <c r="B16" s="103" t="s">
        <v>71</v>
      </c>
      <c r="C16" s="107"/>
      <c r="D16" s="4">
        <v>100</v>
      </c>
      <c r="E16" s="3">
        <v>4</v>
      </c>
      <c r="F16" s="5">
        <v>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4"/>
      <c r="AA16">
        <f>E16*F16</f>
        <v>16</v>
      </c>
    </row>
    <row r="17" spans="1:34">
      <c r="A17" s="4"/>
      <c r="B17" s="108" t="s">
        <v>122</v>
      </c>
      <c r="C17" s="107"/>
      <c r="D17" s="19">
        <v>35</v>
      </c>
      <c r="E17" s="20">
        <v>3</v>
      </c>
      <c r="F17" s="21">
        <v>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4"/>
      <c r="AA17">
        <f t="shared" ref="AA17:AA18" si="2">E17*F17</f>
        <v>12</v>
      </c>
    </row>
    <row r="18" spans="1:34">
      <c r="A18" s="4"/>
      <c r="B18" s="108" t="s">
        <v>82</v>
      </c>
      <c r="C18" s="107"/>
      <c r="D18" s="19">
        <v>100</v>
      </c>
      <c r="E18" s="20">
        <v>3</v>
      </c>
      <c r="F18" s="21">
        <v>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AA18">
        <f t="shared" si="2"/>
        <v>9</v>
      </c>
    </row>
    <row r="19" spans="1:34" ht="15.75" thickBot="1">
      <c r="A19" s="4"/>
      <c r="B19" s="16"/>
      <c r="C19" s="107"/>
      <c r="D19" s="4"/>
      <c r="E19" s="3"/>
      <c r="F19" s="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AA19">
        <f>SUM(AA14:AA18)</f>
        <v>64</v>
      </c>
    </row>
    <row r="20" spans="1:34" ht="15.75" thickBot="1">
      <c r="A20" s="4"/>
      <c r="B20" s="16"/>
      <c r="C20" s="107"/>
      <c r="D20" s="4"/>
      <c r="E20" s="3"/>
      <c r="F20" s="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  <c r="AB20" s="110">
        <f>SUM(AB14:AB19)</f>
        <v>4</v>
      </c>
      <c r="AC20" s="111">
        <f>SUM(AC14:AC19)</f>
        <v>15</v>
      </c>
      <c r="AD20" s="111">
        <f>SUM(AD14:AD19)</f>
        <v>8</v>
      </c>
      <c r="AE20" s="111">
        <f>SUM(AE14:AE19)</f>
        <v>0</v>
      </c>
      <c r="AF20" s="112"/>
      <c r="AG20" s="117">
        <f>SUM(AB20:AF20)</f>
        <v>27</v>
      </c>
      <c r="AH20" s="130">
        <f>(0.55*AB20+0.65*AC20+0.75*AD20+0.85*AE20+0.95*AF20)/AG20</f>
        <v>0.66481481481481475</v>
      </c>
    </row>
    <row r="21" spans="1:34" ht="14.25" customHeight="1">
      <c r="A21" s="284" t="s">
        <v>16</v>
      </c>
      <c r="B21" s="285"/>
      <c r="C21" s="107"/>
      <c r="D21" s="4"/>
      <c r="E21" s="3"/>
      <c r="F21" s="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  <c r="AB21" s="26"/>
      <c r="AC21" s="26"/>
      <c r="AD21" s="26"/>
      <c r="AE21" s="26"/>
      <c r="AF21" s="26"/>
      <c r="AG21" s="26"/>
      <c r="AH21" s="194"/>
    </row>
    <row r="22" spans="1:34">
      <c r="A22" s="196"/>
      <c r="B22" s="104" t="s">
        <v>17</v>
      </c>
      <c r="C22" s="107">
        <v>240</v>
      </c>
      <c r="D22" s="201">
        <v>240</v>
      </c>
      <c r="E22" s="3"/>
      <c r="F22" s="5"/>
      <c r="G22" s="22">
        <v>130</v>
      </c>
      <c r="H22" s="40">
        <f>G22/C22</f>
        <v>0.54166666666666663</v>
      </c>
      <c r="I22" s="22">
        <v>5</v>
      </c>
      <c r="J22" s="22">
        <v>150</v>
      </c>
      <c r="K22" s="40">
        <f>J22/C22</f>
        <v>0.625</v>
      </c>
      <c r="L22" s="26">
        <v>4</v>
      </c>
      <c r="M22" s="26">
        <v>170</v>
      </c>
      <c r="N22" s="40">
        <f>M22/C22</f>
        <v>0.70833333333333337</v>
      </c>
      <c r="O22" s="26">
        <v>3</v>
      </c>
      <c r="P22" s="26"/>
      <c r="Q22" s="40"/>
      <c r="R22" s="26"/>
      <c r="S22" s="26"/>
      <c r="T22" s="40"/>
      <c r="U22" s="26"/>
      <c r="V22" s="22"/>
      <c r="W22" s="22"/>
      <c r="X22" s="22"/>
      <c r="Y22" s="24"/>
      <c r="AA22">
        <f>SUM(AB22:AF22)</f>
        <v>12</v>
      </c>
      <c r="AB22">
        <v>5</v>
      </c>
      <c r="AC22">
        <v>4</v>
      </c>
      <c r="AD22">
        <v>3</v>
      </c>
      <c r="AG22" s="26"/>
      <c r="AH22" s="194"/>
    </row>
    <row r="23" spans="1:34">
      <c r="A23" s="196"/>
      <c r="B23" s="231" t="s">
        <v>13</v>
      </c>
      <c r="C23" s="107">
        <v>290</v>
      </c>
      <c r="D23" s="201">
        <v>280</v>
      </c>
      <c r="E23" s="3"/>
      <c r="F23" s="5"/>
      <c r="G23" s="22">
        <v>150</v>
      </c>
      <c r="H23" s="40">
        <f>G23/C23</f>
        <v>0.51724137931034486</v>
      </c>
      <c r="I23" s="22">
        <v>3</v>
      </c>
      <c r="J23" s="22">
        <v>3</v>
      </c>
      <c r="K23" s="40"/>
      <c r="L23" s="26"/>
      <c r="M23" s="26"/>
      <c r="N23" s="40"/>
      <c r="O23" s="26"/>
      <c r="P23" s="26"/>
      <c r="Q23" s="40"/>
      <c r="R23" s="26"/>
      <c r="S23" s="26"/>
      <c r="T23" s="105"/>
      <c r="U23" s="150"/>
      <c r="V23" s="128"/>
      <c r="W23" s="105"/>
      <c r="X23" s="128"/>
      <c r="Y23" s="24"/>
      <c r="AA23">
        <f>SUM(AB23:AE23)</f>
        <v>9</v>
      </c>
      <c r="AB23">
        <v>9</v>
      </c>
      <c r="AG23" s="26"/>
      <c r="AH23" s="194"/>
    </row>
    <row r="24" spans="1:34">
      <c r="A24" s="62"/>
      <c r="B24" s="199" t="s">
        <v>102</v>
      </c>
      <c r="C24" s="107"/>
      <c r="D24" s="4">
        <v>45</v>
      </c>
      <c r="E24" s="3">
        <v>6</v>
      </c>
      <c r="F24" s="5">
        <v>6</v>
      </c>
      <c r="G24" s="26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/>
      <c r="AA24">
        <f>E24*F24</f>
        <v>36</v>
      </c>
      <c r="AB24" s="26"/>
      <c r="AC24" s="26"/>
      <c r="AD24" s="26"/>
      <c r="AE24" s="26"/>
      <c r="AF24" s="26"/>
      <c r="AG24" s="26"/>
      <c r="AH24" s="194"/>
    </row>
    <row r="25" spans="1:34" ht="15.75" thickBot="1">
      <c r="A25" s="19"/>
      <c r="B25" s="92"/>
      <c r="C25" s="107"/>
      <c r="D25" s="200"/>
      <c r="E25" s="3"/>
      <c r="F25" s="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AA25">
        <f>SUM(AA22:AA24)</f>
        <v>57</v>
      </c>
      <c r="AB25" s="26"/>
      <c r="AC25" s="26"/>
      <c r="AD25" s="26"/>
      <c r="AE25" s="26"/>
      <c r="AF25" s="26"/>
      <c r="AG25" s="26"/>
      <c r="AH25" s="194"/>
    </row>
    <row r="26" spans="1:34" ht="15.75" thickBot="1">
      <c r="A26" s="6"/>
      <c r="B26" s="7"/>
      <c r="C26" s="233"/>
      <c r="D26" s="234"/>
      <c r="E26" s="7"/>
      <c r="F26" s="21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AB26" s="110">
        <f>SUM(AB22:AB23)</f>
        <v>14</v>
      </c>
      <c r="AC26" s="111">
        <f t="shared" ref="AC26:AE26" si="3">SUM(AC22:AC23)</f>
        <v>4</v>
      </c>
      <c r="AD26" s="111">
        <f t="shared" si="3"/>
        <v>3</v>
      </c>
      <c r="AE26" s="111">
        <f t="shared" si="3"/>
        <v>0</v>
      </c>
      <c r="AF26" s="112"/>
      <c r="AG26" s="117">
        <f>SUM(AB26:AF26)</f>
        <v>21</v>
      </c>
      <c r="AH26" s="130">
        <f>(0.55*AB26+0.65*AC26+0.75*AD26+0.85*AE26+0.95*AF26)/AG26</f>
        <v>0.59761904761904761</v>
      </c>
    </row>
    <row r="28" spans="1:34" ht="15.75" thickBot="1">
      <c r="AA28">
        <f>AA19+AA11+AA25</f>
        <v>188</v>
      </c>
    </row>
    <row r="29" spans="1:34" ht="15.75" thickBot="1">
      <c r="AB29" s="116">
        <f>+AB20+AB12+AB26</f>
        <v>29</v>
      </c>
      <c r="AC29" s="117">
        <f>+AC20+AC12+AC26</f>
        <v>23</v>
      </c>
      <c r="AD29" s="117">
        <f>+AD20+AD12+AD26</f>
        <v>14</v>
      </c>
      <c r="AE29" s="117">
        <f>+AE20+AE12+AE26</f>
        <v>11</v>
      </c>
      <c r="AF29" s="118">
        <f>+AF20+AF12+AF26</f>
        <v>0</v>
      </c>
      <c r="AG29" s="195">
        <f>AB29+AC29+AD29+AE29+AF29</f>
        <v>77</v>
      </c>
      <c r="AH29" s="133">
        <f>(0.55*AB29+0.65*AC29+0.75*AD29+0.85*AE29+0.95*AF29)/AG29</f>
        <v>0.65909090909090917</v>
      </c>
    </row>
  </sheetData>
  <mergeCells count="1">
    <mergeCell ref="A21:B21"/>
  </mergeCells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F4"/>
  <sheetViews>
    <sheetView topLeftCell="B1" workbookViewId="0">
      <selection activeCell="E11" sqref="E11"/>
    </sheetView>
  </sheetViews>
  <sheetFormatPr defaultRowHeight="15"/>
  <cols>
    <col min="3" max="3" width="12.7109375" customWidth="1"/>
    <col min="5" max="17" width="4.7109375" customWidth="1"/>
    <col min="18" max="18" width="4" customWidth="1"/>
  </cols>
  <sheetData>
    <row r="3" spans="3:6">
      <c r="C3" s="149" t="s">
        <v>86</v>
      </c>
      <c r="D3" s="149" t="s">
        <v>87</v>
      </c>
      <c r="E3" s="149"/>
      <c r="F3" s="149"/>
    </row>
    <row r="4" spans="3:6">
      <c r="C4" t="s">
        <v>88</v>
      </c>
      <c r="D4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opLeftCell="C4" zoomScaleNormal="100" workbookViewId="0">
      <selection activeCell="Z31" sqref="Z31"/>
    </sheetView>
  </sheetViews>
  <sheetFormatPr defaultRowHeight="15"/>
  <cols>
    <col min="1" max="1" width="2.7109375" customWidth="1"/>
    <col min="2" max="2" width="18" customWidth="1"/>
    <col min="3" max="3" width="7.140625" customWidth="1"/>
    <col min="4" max="4" width="4.140625" customWidth="1"/>
    <col min="5" max="5" width="4.28515625" customWidth="1"/>
    <col min="6" max="6" width="6.42578125" customWidth="1"/>
    <col min="7" max="7" width="5.42578125" bestFit="1" customWidth="1"/>
    <col min="8" max="8" width="8" bestFit="1" customWidth="1"/>
    <col min="9" max="9" width="7" customWidth="1"/>
    <col min="10" max="10" width="6.85546875" bestFit="1" customWidth="1"/>
    <col min="11" max="11" width="3.7109375" customWidth="1"/>
    <col min="12" max="12" width="6.42578125" customWidth="1"/>
    <col min="13" max="13" width="5" customWidth="1"/>
    <col min="14" max="14" width="4" bestFit="1" customWidth="1"/>
    <col min="15" max="15" width="7.42578125" customWidth="1"/>
    <col min="16" max="16" width="5.140625" customWidth="1"/>
    <col min="17" max="17" width="4.140625" bestFit="1" customWidth="1"/>
    <col min="18" max="18" width="6.42578125" customWidth="1"/>
    <col min="19" max="19" width="4.7109375" customWidth="1"/>
    <col min="20" max="20" width="3.5703125" customWidth="1"/>
    <col min="21" max="21" width="6.28515625" customWidth="1"/>
    <col min="22" max="22" width="4.85546875" customWidth="1"/>
    <col min="23" max="23" width="4" customWidth="1"/>
    <col min="24" max="24" width="7" customWidth="1"/>
    <col min="25" max="25" width="4.85546875" customWidth="1"/>
    <col min="26" max="26" width="4.140625" customWidth="1"/>
  </cols>
  <sheetData>
    <row r="1" spans="1:43" ht="24" thickBot="1">
      <c r="A1" s="50" t="s">
        <v>9</v>
      </c>
    </row>
    <row r="2" spans="1:43">
      <c r="B2" s="66" t="s">
        <v>23</v>
      </c>
      <c r="C2" s="30"/>
    </row>
    <row r="3" spans="1:43" ht="24" thickBot="1">
      <c r="B3" s="57" t="s">
        <v>24</v>
      </c>
      <c r="C3" s="29">
        <v>240</v>
      </c>
      <c r="AE3" s="277" t="s">
        <v>43</v>
      </c>
      <c r="AF3" s="277"/>
      <c r="AG3" s="277"/>
      <c r="AH3" s="277"/>
      <c r="AI3" s="277"/>
      <c r="AJ3" s="277"/>
      <c r="AK3" s="277"/>
      <c r="AL3" s="277"/>
      <c r="AM3" s="277"/>
      <c r="AN3" s="277"/>
      <c r="AO3" s="277"/>
    </row>
    <row r="4" spans="1:43" ht="15.75" thickBot="1"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</row>
    <row r="5" spans="1:43">
      <c r="A5" s="266" t="s">
        <v>31</v>
      </c>
      <c r="B5" s="267"/>
      <c r="C5" s="254">
        <v>41401</v>
      </c>
      <c r="D5" s="255"/>
      <c r="E5" s="256"/>
      <c r="F5" s="254">
        <f>C5+7</f>
        <v>41408</v>
      </c>
      <c r="G5" s="255"/>
      <c r="H5" s="256"/>
      <c r="I5" s="254">
        <f t="shared" ref="I5" si="0">F5+7</f>
        <v>41415</v>
      </c>
      <c r="J5" s="255"/>
      <c r="K5" s="255"/>
      <c r="L5" s="254">
        <f t="shared" ref="L5" si="1">I5+7</f>
        <v>41422</v>
      </c>
      <c r="M5" s="255"/>
      <c r="N5" s="256"/>
      <c r="O5" s="279">
        <f t="shared" ref="O5" si="2">L5+7</f>
        <v>41429</v>
      </c>
      <c r="P5" s="280"/>
      <c r="Q5" s="281"/>
      <c r="R5" s="254">
        <f t="shared" ref="R5" si="3">O5+7</f>
        <v>41436</v>
      </c>
      <c r="S5" s="255"/>
      <c r="T5" s="256"/>
      <c r="U5" s="254">
        <f t="shared" ref="U5" si="4">R5+7</f>
        <v>41443</v>
      </c>
      <c r="V5" s="255"/>
      <c r="W5" s="256"/>
      <c r="X5" s="254">
        <f t="shared" ref="X5" si="5">U5+7</f>
        <v>41450</v>
      </c>
      <c r="Y5" s="255"/>
      <c r="Z5" s="256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</row>
    <row r="6" spans="1:43">
      <c r="A6" s="4">
        <v>1</v>
      </c>
      <c r="B6" s="16" t="s">
        <v>17</v>
      </c>
      <c r="C6" s="271"/>
      <c r="D6" s="272"/>
      <c r="E6" s="273"/>
      <c r="F6" s="271"/>
      <c r="G6" s="272"/>
      <c r="H6" s="273"/>
      <c r="I6" s="271"/>
      <c r="J6" s="272"/>
      <c r="K6" s="272"/>
      <c r="L6" s="81">
        <v>120</v>
      </c>
      <c r="M6" s="77">
        <v>6</v>
      </c>
      <c r="N6" s="82">
        <v>2</v>
      </c>
      <c r="O6" s="81">
        <v>130</v>
      </c>
      <c r="P6" s="77">
        <v>6</v>
      </c>
      <c r="Q6" s="82">
        <v>3</v>
      </c>
      <c r="R6" s="81">
        <v>140</v>
      </c>
      <c r="S6" s="77">
        <v>5</v>
      </c>
      <c r="T6" s="82">
        <v>1</v>
      </c>
      <c r="U6" s="81">
        <v>150</v>
      </c>
      <c r="V6" s="77">
        <v>5</v>
      </c>
      <c r="W6" s="82">
        <v>1</v>
      </c>
      <c r="X6" s="81">
        <v>160</v>
      </c>
      <c r="Y6" s="77">
        <v>4</v>
      </c>
      <c r="Z6" s="82">
        <v>1</v>
      </c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</row>
    <row r="7" spans="1:43">
      <c r="A7" s="8">
        <v>2</v>
      </c>
      <c r="B7" s="73" t="s">
        <v>13</v>
      </c>
      <c r="C7" s="8">
        <v>100</v>
      </c>
      <c r="D7" s="9">
        <v>6</v>
      </c>
      <c r="E7" s="10">
        <v>4</v>
      </c>
      <c r="F7" s="8">
        <v>110</v>
      </c>
      <c r="G7" s="9">
        <v>6</v>
      </c>
      <c r="H7" s="10">
        <v>4</v>
      </c>
      <c r="I7" s="8">
        <v>90</v>
      </c>
      <c r="J7" s="9">
        <v>6</v>
      </c>
      <c r="K7" s="73">
        <v>4</v>
      </c>
      <c r="L7" s="8">
        <v>100</v>
      </c>
      <c r="M7" s="9">
        <v>6</v>
      </c>
      <c r="N7" s="10">
        <v>6</v>
      </c>
      <c r="O7" s="8">
        <v>110</v>
      </c>
      <c r="P7" s="9">
        <v>6</v>
      </c>
      <c r="Q7" s="10">
        <v>6</v>
      </c>
      <c r="R7" s="8">
        <v>120</v>
      </c>
      <c r="S7" s="9">
        <v>6</v>
      </c>
      <c r="T7" s="10">
        <v>6</v>
      </c>
      <c r="U7" s="8">
        <v>130</v>
      </c>
      <c r="V7" s="9">
        <v>6</v>
      </c>
      <c r="W7" s="10">
        <v>6</v>
      </c>
      <c r="X7" s="8">
        <v>135</v>
      </c>
      <c r="Y7" s="9">
        <v>6</v>
      </c>
      <c r="Z7" s="10">
        <v>6</v>
      </c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</row>
    <row r="8" spans="1:43">
      <c r="A8" s="260">
        <v>3</v>
      </c>
      <c r="B8" s="263" t="s">
        <v>14</v>
      </c>
      <c r="C8" s="4">
        <v>150</v>
      </c>
      <c r="D8" s="3">
        <v>1</v>
      </c>
      <c r="E8" s="5">
        <v>1</v>
      </c>
      <c r="F8" s="4">
        <v>150</v>
      </c>
      <c r="G8" s="3">
        <v>1</v>
      </c>
      <c r="H8" s="5">
        <v>2</v>
      </c>
      <c r="I8" s="4">
        <v>150</v>
      </c>
      <c r="J8" s="3">
        <v>1</v>
      </c>
      <c r="K8" s="16">
        <v>2</v>
      </c>
      <c r="L8" s="4">
        <v>150</v>
      </c>
      <c r="M8" s="3">
        <v>1</v>
      </c>
      <c r="N8" s="5">
        <v>2</v>
      </c>
      <c r="O8" s="4">
        <v>150</v>
      </c>
      <c r="P8" s="3">
        <v>1</v>
      </c>
      <c r="Q8" s="5">
        <v>2</v>
      </c>
      <c r="R8" s="4">
        <v>170</v>
      </c>
      <c r="S8" s="3">
        <v>1</v>
      </c>
      <c r="T8" s="5">
        <v>2</v>
      </c>
      <c r="U8" s="4">
        <v>170</v>
      </c>
      <c r="V8" s="3">
        <v>1</v>
      </c>
      <c r="W8" s="5">
        <v>2</v>
      </c>
      <c r="X8" s="4">
        <v>170</v>
      </c>
      <c r="Y8" s="3">
        <v>1</v>
      </c>
      <c r="Z8" s="5">
        <v>2</v>
      </c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</row>
    <row r="9" spans="1:43">
      <c r="A9" s="261"/>
      <c r="B9" s="264"/>
      <c r="C9" s="4">
        <v>170</v>
      </c>
      <c r="D9" s="3">
        <v>1</v>
      </c>
      <c r="E9" s="5">
        <v>1</v>
      </c>
      <c r="F9" s="4">
        <v>160</v>
      </c>
      <c r="G9" s="3">
        <v>1</v>
      </c>
      <c r="H9" s="5">
        <v>2</v>
      </c>
      <c r="I9" s="4">
        <v>170</v>
      </c>
      <c r="J9" s="3">
        <v>1</v>
      </c>
      <c r="K9" s="16">
        <v>2</v>
      </c>
      <c r="L9" s="4">
        <v>180</v>
      </c>
      <c r="M9" s="3">
        <v>1</v>
      </c>
      <c r="N9" s="5">
        <v>2</v>
      </c>
      <c r="O9" s="4">
        <v>170</v>
      </c>
      <c r="P9" s="3">
        <v>1</v>
      </c>
      <c r="Q9" s="5">
        <v>2</v>
      </c>
      <c r="R9" s="4">
        <v>190</v>
      </c>
      <c r="S9" s="3">
        <v>1</v>
      </c>
      <c r="T9" s="5">
        <v>2</v>
      </c>
      <c r="U9" s="4">
        <v>195</v>
      </c>
      <c r="V9" s="3">
        <v>1</v>
      </c>
      <c r="W9" s="5">
        <v>2</v>
      </c>
      <c r="X9" s="4">
        <v>200</v>
      </c>
      <c r="Y9" s="3">
        <v>1</v>
      </c>
      <c r="Z9" s="5">
        <v>2</v>
      </c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</row>
    <row r="10" spans="1:43">
      <c r="A10" s="262"/>
      <c r="B10" s="265"/>
      <c r="C10" s="4">
        <v>200</v>
      </c>
      <c r="D10" s="3">
        <v>1</v>
      </c>
      <c r="E10" s="5">
        <v>3</v>
      </c>
      <c r="F10" s="4"/>
      <c r="G10" s="3"/>
      <c r="H10" s="5"/>
      <c r="I10" s="4"/>
      <c r="J10" s="3"/>
      <c r="K10" s="16"/>
      <c r="L10" s="4"/>
      <c r="M10" s="3"/>
      <c r="N10" s="5"/>
      <c r="O10" s="4">
        <v>200</v>
      </c>
      <c r="P10" s="3">
        <v>1</v>
      </c>
      <c r="Q10" s="5">
        <v>2</v>
      </c>
      <c r="R10" s="4">
        <v>210</v>
      </c>
      <c r="S10" s="3">
        <v>1</v>
      </c>
      <c r="T10" s="5">
        <v>2</v>
      </c>
      <c r="U10" s="4">
        <v>215</v>
      </c>
      <c r="V10" s="3">
        <v>1</v>
      </c>
      <c r="W10" s="5">
        <v>2</v>
      </c>
      <c r="X10" s="4">
        <v>230</v>
      </c>
      <c r="Y10" s="3">
        <v>1</v>
      </c>
      <c r="Z10" s="5">
        <v>2</v>
      </c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</row>
    <row r="11" spans="1:43">
      <c r="A11" s="14">
        <v>4</v>
      </c>
      <c r="B11" s="74" t="s">
        <v>22</v>
      </c>
      <c r="C11" s="15">
        <v>140</v>
      </c>
      <c r="D11" s="12">
        <v>4</v>
      </c>
      <c r="E11" s="13">
        <v>5</v>
      </c>
      <c r="F11" s="15">
        <v>145</v>
      </c>
      <c r="G11" s="12">
        <v>4</v>
      </c>
      <c r="H11" s="13">
        <v>5</v>
      </c>
      <c r="I11" s="15">
        <v>150</v>
      </c>
      <c r="J11" s="12">
        <v>4</v>
      </c>
      <c r="K11" s="17">
        <v>5</v>
      </c>
      <c r="L11" s="15">
        <v>155</v>
      </c>
      <c r="M11" s="12">
        <v>4</v>
      </c>
      <c r="N11" s="13">
        <v>5</v>
      </c>
      <c r="O11" s="15">
        <v>135</v>
      </c>
      <c r="P11" s="12">
        <v>5</v>
      </c>
      <c r="Q11" s="13">
        <v>5</v>
      </c>
      <c r="R11" s="15">
        <v>145</v>
      </c>
      <c r="S11" s="12">
        <v>5</v>
      </c>
      <c r="T11" s="13">
        <v>5</v>
      </c>
      <c r="U11" s="15">
        <v>155</v>
      </c>
      <c r="V11" s="12">
        <v>4</v>
      </c>
      <c r="W11" s="13">
        <v>5</v>
      </c>
      <c r="X11" s="15">
        <v>165</v>
      </c>
      <c r="Y11" s="12">
        <v>4</v>
      </c>
      <c r="Z11" s="13">
        <v>5</v>
      </c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</row>
    <row r="12" spans="1:43">
      <c r="A12" s="4">
        <v>5</v>
      </c>
      <c r="B12" s="16" t="s">
        <v>15</v>
      </c>
      <c r="C12" s="4">
        <v>60</v>
      </c>
      <c r="D12" s="3">
        <v>6</v>
      </c>
      <c r="E12" s="5">
        <v>6</v>
      </c>
      <c r="F12" s="4">
        <v>70</v>
      </c>
      <c r="G12" s="3">
        <v>6</v>
      </c>
      <c r="H12" s="5">
        <v>6</v>
      </c>
      <c r="I12" s="4">
        <v>40</v>
      </c>
      <c r="J12" s="3">
        <v>6</v>
      </c>
      <c r="K12" s="16">
        <v>6</v>
      </c>
      <c r="L12" s="4">
        <v>50</v>
      </c>
      <c r="M12" s="3">
        <v>6</v>
      </c>
      <c r="N12" s="5">
        <v>6</v>
      </c>
      <c r="O12" s="4">
        <v>60</v>
      </c>
      <c r="P12" s="3">
        <v>6</v>
      </c>
      <c r="Q12" s="5">
        <v>6</v>
      </c>
      <c r="R12" s="4">
        <v>70</v>
      </c>
      <c r="S12" s="3">
        <v>6</v>
      </c>
      <c r="T12" s="5">
        <v>6</v>
      </c>
      <c r="U12" s="4">
        <v>80</v>
      </c>
      <c r="V12" s="3">
        <v>6</v>
      </c>
      <c r="W12" s="5">
        <v>6</v>
      </c>
      <c r="X12" s="4">
        <v>90</v>
      </c>
      <c r="Y12" s="3">
        <v>6</v>
      </c>
      <c r="Z12" s="5">
        <v>6</v>
      </c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</row>
    <row r="13" spans="1:43">
      <c r="A13" s="34">
        <v>6</v>
      </c>
      <c r="B13" s="75" t="s">
        <v>36</v>
      </c>
      <c r="C13" s="34"/>
      <c r="D13" s="35"/>
      <c r="E13" s="36"/>
      <c r="F13" s="34">
        <v>80</v>
      </c>
      <c r="G13" s="35">
        <v>1</v>
      </c>
      <c r="H13" s="36">
        <v>1</v>
      </c>
      <c r="I13" s="34">
        <v>30</v>
      </c>
      <c r="J13" s="35">
        <v>10</v>
      </c>
      <c r="K13" s="75">
        <v>3</v>
      </c>
      <c r="L13" s="34">
        <v>35</v>
      </c>
      <c r="M13" s="35">
        <v>10</v>
      </c>
      <c r="N13" s="36">
        <v>3</v>
      </c>
      <c r="O13" s="97">
        <v>40</v>
      </c>
      <c r="P13" s="35">
        <v>8</v>
      </c>
      <c r="Q13" s="36">
        <v>3</v>
      </c>
      <c r="R13" s="97">
        <v>45</v>
      </c>
      <c r="S13" s="35">
        <v>8</v>
      </c>
      <c r="T13" s="36">
        <v>3</v>
      </c>
      <c r="U13" s="34">
        <v>40</v>
      </c>
      <c r="V13" s="35">
        <v>10</v>
      </c>
      <c r="W13" s="36">
        <v>3</v>
      </c>
      <c r="X13" s="34">
        <v>50</v>
      </c>
      <c r="Y13" s="99">
        <v>16</v>
      </c>
      <c r="Z13" s="36">
        <v>1</v>
      </c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</row>
    <row r="14" spans="1:43" ht="15.75" thickBot="1">
      <c r="A14" s="37">
        <v>7</v>
      </c>
      <c r="B14" s="75" t="s">
        <v>37</v>
      </c>
      <c r="C14" s="37"/>
      <c r="D14" s="38"/>
      <c r="E14" s="39"/>
      <c r="F14" s="37"/>
      <c r="G14" s="38"/>
      <c r="H14" s="39"/>
      <c r="I14" s="37">
        <v>10</v>
      </c>
      <c r="J14" s="38">
        <v>10</v>
      </c>
      <c r="K14" s="45">
        <v>3</v>
      </c>
      <c r="L14" s="37">
        <v>12</v>
      </c>
      <c r="M14" s="38">
        <v>10</v>
      </c>
      <c r="N14" s="39">
        <v>3</v>
      </c>
      <c r="O14" s="37">
        <v>14</v>
      </c>
      <c r="P14" s="38">
        <v>8</v>
      </c>
      <c r="Q14" s="39">
        <v>3</v>
      </c>
      <c r="R14" s="37">
        <v>16</v>
      </c>
      <c r="S14" s="38">
        <v>8</v>
      </c>
      <c r="T14" s="39">
        <v>3</v>
      </c>
      <c r="U14" s="37">
        <v>12</v>
      </c>
      <c r="V14" s="38">
        <v>10</v>
      </c>
      <c r="W14" s="39">
        <v>4</v>
      </c>
      <c r="X14" s="37">
        <v>16</v>
      </c>
      <c r="Y14" s="38">
        <v>10</v>
      </c>
      <c r="Z14" s="39">
        <v>3</v>
      </c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</row>
    <row r="15" spans="1:43" ht="15.75" thickBot="1">
      <c r="A15" s="274"/>
      <c r="B15" s="31" t="s">
        <v>38</v>
      </c>
      <c r="C15" s="27"/>
      <c r="D15" s="27"/>
      <c r="E15" s="27"/>
      <c r="F15" s="46">
        <v>1</v>
      </c>
      <c r="G15" s="27"/>
      <c r="H15" s="27"/>
      <c r="I15" s="46">
        <v>2</v>
      </c>
      <c r="J15" s="27"/>
      <c r="K15" s="27"/>
      <c r="L15" s="46">
        <v>3</v>
      </c>
      <c r="M15" s="27"/>
      <c r="N15" s="30"/>
      <c r="O15" s="78">
        <v>4</v>
      </c>
      <c r="P15" s="27"/>
      <c r="Q15" s="27"/>
      <c r="R15" s="46">
        <v>5</v>
      </c>
      <c r="S15" s="27"/>
      <c r="T15" s="27"/>
      <c r="U15" s="46">
        <v>6</v>
      </c>
      <c r="V15" s="27"/>
      <c r="W15" s="27"/>
      <c r="X15" s="46">
        <v>7</v>
      </c>
      <c r="Y15" s="27"/>
      <c r="Z15" s="30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</row>
    <row r="16" spans="1:43" ht="15.75" thickBot="1">
      <c r="A16" s="275"/>
      <c r="B16" s="32" t="s">
        <v>41</v>
      </c>
      <c r="C16" s="22"/>
      <c r="D16" s="22"/>
      <c r="E16" s="22"/>
      <c r="F16" s="47"/>
      <c r="G16" s="22"/>
      <c r="H16" s="22"/>
      <c r="I16" s="47">
        <f>(I13*J13*K13+I14*J14*K14)/(J13*K13+J14*K14)</f>
        <v>20</v>
      </c>
      <c r="J16" s="60">
        <f>I16/$F$13</f>
        <v>0.25</v>
      </c>
      <c r="K16" s="22"/>
      <c r="L16" s="47">
        <f>(L13*M13*N13+L14*M14*N14)/(M13*N13+M14*N14)</f>
        <v>23.5</v>
      </c>
      <c r="M16" s="60">
        <f>L16/$F$13</f>
        <v>0.29375000000000001</v>
      </c>
      <c r="N16" s="24"/>
      <c r="O16" s="79">
        <f>(O13*P13*Q13+O14*P14*Q14)/(P13*Q13+P14*Q14)</f>
        <v>27</v>
      </c>
      <c r="P16" s="60">
        <f>O16/$F$13</f>
        <v>0.33750000000000002</v>
      </c>
      <c r="Q16" s="22"/>
      <c r="R16" s="47">
        <f>(R13*S13*T13+R14*S14*T14)/(S13*T13+S14*T14)</f>
        <v>30.5</v>
      </c>
      <c r="S16" s="49">
        <f>R16/$F$13</f>
        <v>0.38124999999999998</v>
      </c>
      <c r="T16" s="22"/>
      <c r="U16" s="47">
        <f>(U13*V13*W13+U14*V14*W14)/(V13*W13+V14*W14)</f>
        <v>24</v>
      </c>
      <c r="V16" s="60">
        <f>U16/$F$13</f>
        <v>0.3</v>
      </c>
      <c r="W16" s="22"/>
      <c r="X16" s="47">
        <f>(X13*Y13*Z13+X14*Y14*Z14)/(Y13*Z13+Y14*Z14)</f>
        <v>27.826086956521738</v>
      </c>
      <c r="Y16" s="60">
        <f>X16/$F$13</f>
        <v>0.34782608695652173</v>
      </c>
      <c r="Z16" s="24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</row>
    <row r="17" spans="1:43" ht="15.75" thickBot="1">
      <c r="A17" s="275"/>
      <c r="B17" s="33" t="s">
        <v>47</v>
      </c>
      <c r="C17" s="28"/>
      <c r="D17" s="28"/>
      <c r="E17" s="28"/>
      <c r="F17" s="48"/>
      <c r="G17" s="28"/>
      <c r="H17" s="28"/>
      <c r="I17" s="48">
        <f>I13*J13*K13+I14*J14*K14</f>
        <v>1200</v>
      </c>
      <c r="J17" s="28"/>
      <c r="K17" s="28"/>
      <c r="L17" s="48">
        <f>L13*M13*N13+L14*M14*N14</f>
        <v>1410</v>
      </c>
      <c r="M17" s="28"/>
      <c r="N17" s="29"/>
      <c r="O17" s="80">
        <f>O13*P13*Q13+O14*P14*Q14</f>
        <v>1296</v>
      </c>
      <c r="P17" s="28"/>
      <c r="Q17" s="28"/>
      <c r="R17" s="48">
        <f>R13*S13*T13+R14*S14*T14</f>
        <v>1464</v>
      </c>
      <c r="S17" s="28"/>
      <c r="T17" s="28"/>
      <c r="U17" s="48">
        <f>U13*V13*W13+U14*V14*W14</f>
        <v>1680</v>
      </c>
      <c r="V17" s="28"/>
      <c r="W17" s="28"/>
      <c r="X17" s="48">
        <f>X13*Y13*Z13+X14*Y14*Z14</f>
        <v>1280</v>
      </c>
      <c r="Y17" s="28"/>
      <c r="Z17" s="29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</row>
    <row r="18" spans="1:43">
      <c r="A18" s="275"/>
      <c r="B18" s="67" t="s">
        <v>40</v>
      </c>
      <c r="C18" s="68">
        <f>(X16-I16)/I16</f>
        <v>0.39130434782608692</v>
      </c>
      <c r="D18" s="22"/>
      <c r="E18" s="22"/>
      <c r="F18" s="22"/>
      <c r="G18" s="22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2"/>
      <c r="Z18" s="24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</row>
    <row r="19" spans="1:43" ht="15.75" thickBot="1">
      <c r="A19" s="275"/>
      <c r="B19" s="67" t="s">
        <v>39</v>
      </c>
      <c r="C19" s="68">
        <f>(X17-I17)/I17</f>
        <v>6.6666666666666666E-2</v>
      </c>
      <c r="D19" s="22"/>
      <c r="E19" s="22"/>
      <c r="F19" s="22"/>
      <c r="G19" s="22"/>
      <c r="H19" s="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2"/>
      <c r="Z19" s="24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</row>
    <row r="20" spans="1:43" ht="15.75" thickBot="1">
      <c r="A20" s="276"/>
      <c r="B20" s="58" t="s">
        <v>48</v>
      </c>
      <c r="C20" s="59"/>
      <c r="D20" s="28"/>
      <c r="E20" s="28"/>
      <c r="F20" s="28"/>
      <c r="G20" s="28"/>
      <c r="H20" s="28"/>
      <c r="I20" s="238">
        <f>I7*J7*K7+I8*J8*K8+I9*J9*K9+I11*J11*K11+I12*0.5*J12*K12</f>
        <v>6520</v>
      </c>
      <c r="J20" s="237"/>
      <c r="K20" s="237"/>
      <c r="L20" s="237">
        <f>L7*M7*N7+L8*M8*N8+L9*M9*N9+L11*M11*N11+L12*0.5*M12*N12+L6*M6*N6</f>
        <v>9700</v>
      </c>
      <c r="M20" s="237"/>
      <c r="N20" s="237"/>
      <c r="O20" s="237">
        <f t="shared" ref="O20" si="6">O7*P7*Q7+O8*P8*Q8+O9*P9*Q9+O11*P11*Q11+O12*0.5*P12*Q12+O6*P6*Q6</f>
        <v>11395</v>
      </c>
      <c r="P20" s="237"/>
      <c r="Q20" s="237"/>
      <c r="R20" s="237">
        <f>R7*S7*T7+R8*S8*T8+R9*S9*T9+R10*S10*T10+R11*S11*T11+R12*0.5*S12*T12+R6*S6*T6</f>
        <v>11045</v>
      </c>
      <c r="S20" s="237"/>
      <c r="T20" s="237"/>
      <c r="U20" s="237">
        <f>U7*V7*W7+U8*V8*W8+U9*V9*W9+U10*V10*W10+U11*V11*W11+U12*0.5*V12*W12+U6*V6*W6</f>
        <v>11130</v>
      </c>
      <c r="V20" s="237"/>
      <c r="W20" s="237"/>
      <c r="X20" s="237">
        <f>X7*Y7*Z7+X8*Y8*Z8+X9*Y9*Z9+X10*Y10*Z10+X11*Y11*Z11+X12*0.5*Y12*Z12+X6*Y6*Z6</f>
        <v>11620</v>
      </c>
      <c r="Y20" s="237"/>
      <c r="Z20" s="237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</row>
    <row r="21" spans="1:43">
      <c r="A21" s="71"/>
      <c r="B21" s="70" t="s">
        <v>51</v>
      </c>
      <c r="C21" s="72"/>
      <c r="D21" s="70"/>
      <c r="E21" s="70"/>
      <c r="F21" s="70"/>
      <c r="G21" s="70"/>
      <c r="H21" s="70"/>
      <c r="I21" s="249">
        <f>I20+I17</f>
        <v>7720</v>
      </c>
      <c r="J21" s="249"/>
      <c r="K21" s="249"/>
      <c r="L21" s="249">
        <f t="shared" ref="L21" si="7">L20+L17</f>
        <v>11110</v>
      </c>
      <c r="M21" s="249"/>
      <c r="N21" s="249"/>
      <c r="O21" s="249">
        <f t="shared" ref="O21" si="8">O20+O17</f>
        <v>12691</v>
      </c>
      <c r="P21" s="249"/>
      <c r="Q21" s="249"/>
      <c r="R21" s="249">
        <f t="shared" ref="R21" si="9">R20+R17</f>
        <v>12509</v>
      </c>
      <c r="S21" s="249"/>
      <c r="T21" s="249"/>
      <c r="U21" s="249">
        <f t="shared" ref="U21" si="10">U20+U17</f>
        <v>12810</v>
      </c>
      <c r="V21" s="249"/>
      <c r="W21" s="249"/>
      <c r="X21" s="249">
        <f t="shared" ref="X21" si="11">X20+X17</f>
        <v>12900</v>
      </c>
      <c r="Y21" s="249"/>
      <c r="Z21" s="278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</row>
    <row r="22" spans="1:43">
      <c r="A22" s="23"/>
      <c r="B22" s="26"/>
      <c r="C22" s="40"/>
      <c r="D22" s="22"/>
      <c r="E22" s="22"/>
      <c r="F22" s="22"/>
      <c r="G22" s="22"/>
      <c r="H22" s="2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2"/>
      <c r="Z22" s="24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</row>
    <row r="23" spans="1:43" ht="15.75" thickBo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4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</row>
    <row r="24" spans="1:43" ht="15.75" thickBot="1">
      <c r="A24" s="268" t="s">
        <v>16</v>
      </c>
      <c r="B24" s="269"/>
      <c r="C24" s="270">
        <f>C5+3</f>
        <v>41404</v>
      </c>
      <c r="D24" s="258"/>
      <c r="E24" s="258"/>
      <c r="F24" s="257">
        <f>C24+7</f>
        <v>41411</v>
      </c>
      <c r="G24" s="258"/>
      <c r="H24" s="259"/>
      <c r="I24" s="257">
        <f t="shared" ref="I24" si="12">F24+7</f>
        <v>41418</v>
      </c>
      <c r="J24" s="258"/>
      <c r="K24" s="259"/>
      <c r="L24" s="257">
        <f t="shared" ref="L24" si="13">I24+7</f>
        <v>41425</v>
      </c>
      <c r="M24" s="258"/>
      <c r="N24" s="259"/>
      <c r="O24" s="257">
        <f t="shared" ref="O24" si="14">L24+7</f>
        <v>41432</v>
      </c>
      <c r="P24" s="258"/>
      <c r="Q24" s="259"/>
      <c r="R24" s="257">
        <f t="shared" ref="R24" si="15">O24+7</f>
        <v>41439</v>
      </c>
      <c r="S24" s="258"/>
      <c r="T24" s="259"/>
      <c r="U24" s="257">
        <f t="shared" ref="U24" si="16">R24+7</f>
        <v>41446</v>
      </c>
      <c r="V24" s="258"/>
      <c r="W24" s="259"/>
      <c r="X24" s="257">
        <f t="shared" ref="X24" si="17">U24+7</f>
        <v>41453</v>
      </c>
      <c r="Y24" s="258"/>
      <c r="Z24" s="259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</row>
    <row r="25" spans="1:43">
      <c r="A25" s="250">
        <v>1</v>
      </c>
      <c r="B25" s="251" t="s">
        <v>18</v>
      </c>
      <c r="C25" s="3"/>
      <c r="D25" s="3">
        <v>3</v>
      </c>
      <c r="E25" s="16">
        <v>10</v>
      </c>
      <c r="F25" s="4"/>
      <c r="G25" s="3">
        <f>D25</f>
        <v>3</v>
      </c>
      <c r="H25" s="5">
        <f t="shared" ref="H25:Z26" si="18">E25</f>
        <v>10</v>
      </c>
      <c r="I25" s="4"/>
      <c r="J25" s="3">
        <f t="shared" si="18"/>
        <v>3</v>
      </c>
      <c r="K25" s="5">
        <f t="shared" si="18"/>
        <v>10</v>
      </c>
      <c r="L25" s="4"/>
      <c r="M25" s="3">
        <f t="shared" si="18"/>
        <v>3</v>
      </c>
      <c r="N25" s="5">
        <f t="shared" si="18"/>
        <v>10</v>
      </c>
      <c r="O25" s="4"/>
      <c r="P25" s="3">
        <f t="shared" si="18"/>
        <v>3</v>
      </c>
      <c r="Q25" s="5">
        <f t="shared" si="18"/>
        <v>10</v>
      </c>
      <c r="R25" s="4"/>
      <c r="S25" s="3">
        <f t="shared" si="18"/>
        <v>3</v>
      </c>
      <c r="T25" s="5">
        <f t="shared" si="18"/>
        <v>10</v>
      </c>
      <c r="U25" s="4"/>
      <c r="V25" s="3">
        <f t="shared" si="18"/>
        <v>3</v>
      </c>
      <c r="W25" s="5">
        <f t="shared" si="18"/>
        <v>10</v>
      </c>
      <c r="X25" s="4"/>
      <c r="Y25" s="3">
        <f t="shared" si="18"/>
        <v>3</v>
      </c>
      <c r="Z25" s="5">
        <f t="shared" si="18"/>
        <v>10</v>
      </c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</row>
    <row r="26" spans="1:43">
      <c r="A26" s="250"/>
      <c r="B26" s="252"/>
      <c r="C26" s="3"/>
      <c r="D26" s="3">
        <v>1</v>
      </c>
      <c r="E26" s="16">
        <v>5</v>
      </c>
      <c r="F26" s="4"/>
      <c r="G26" s="3">
        <f>D26</f>
        <v>1</v>
      </c>
      <c r="H26" s="5">
        <f t="shared" si="18"/>
        <v>5</v>
      </c>
      <c r="I26" s="4"/>
      <c r="J26" s="3">
        <f t="shared" si="18"/>
        <v>1</v>
      </c>
      <c r="K26" s="5">
        <f t="shared" si="18"/>
        <v>5</v>
      </c>
      <c r="L26" s="4"/>
      <c r="M26" s="3">
        <f t="shared" si="18"/>
        <v>1</v>
      </c>
      <c r="N26" s="5">
        <f t="shared" si="18"/>
        <v>5</v>
      </c>
      <c r="O26" s="4"/>
      <c r="P26" s="3">
        <f t="shared" si="18"/>
        <v>1</v>
      </c>
      <c r="Q26" s="5">
        <f t="shared" si="18"/>
        <v>5</v>
      </c>
      <c r="R26" s="4"/>
      <c r="S26" s="3">
        <f t="shared" si="18"/>
        <v>1</v>
      </c>
      <c r="T26" s="5">
        <f t="shared" si="18"/>
        <v>5</v>
      </c>
      <c r="U26" s="4"/>
      <c r="V26" s="3">
        <f t="shared" si="18"/>
        <v>1</v>
      </c>
      <c r="W26" s="5">
        <f t="shared" si="18"/>
        <v>5</v>
      </c>
      <c r="X26" s="4"/>
      <c r="Y26" s="3">
        <f t="shared" si="18"/>
        <v>1</v>
      </c>
      <c r="Z26" s="5">
        <f t="shared" si="18"/>
        <v>5</v>
      </c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</row>
    <row r="27" spans="1:43">
      <c r="A27" s="25">
        <v>2</v>
      </c>
      <c r="B27" s="11" t="s">
        <v>19</v>
      </c>
      <c r="C27" s="12">
        <v>100</v>
      </c>
      <c r="D27" s="12">
        <v>4</v>
      </c>
      <c r="E27" s="17">
        <v>4</v>
      </c>
      <c r="F27" s="15">
        <f>C59</f>
        <v>110</v>
      </c>
      <c r="G27" s="12">
        <f t="shared" ref="G27:H27" si="19">D59</f>
        <v>3</v>
      </c>
      <c r="H27" s="13">
        <f t="shared" si="19"/>
        <v>4</v>
      </c>
      <c r="I27" s="15">
        <f>C60</f>
        <v>120</v>
      </c>
      <c r="J27" s="12">
        <f t="shared" ref="J27:K27" si="20">D60</f>
        <v>3</v>
      </c>
      <c r="K27" s="13">
        <f t="shared" si="20"/>
        <v>4</v>
      </c>
      <c r="L27" s="15">
        <f>C61</f>
        <v>130</v>
      </c>
      <c r="M27" s="12">
        <f t="shared" ref="M27:N27" si="21">D61</f>
        <v>3</v>
      </c>
      <c r="N27" s="13">
        <f t="shared" si="21"/>
        <v>4</v>
      </c>
      <c r="O27" s="15">
        <f>C62</f>
        <v>115</v>
      </c>
      <c r="P27" s="12">
        <f t="shared" ref="P27" si="22">D62</f>
        <v>3</v>
      </c>
      <c r="Q27" s="13">
        <v>5</v>
      </c>
      <c r="R27" s="15">
        <v>125</v>
      </c>
      <c r="S27" s="12">
        <v>3</v>
      </c>
      <c r="T27" s="13">
        <v>5</v>
      </c>
      <c r="U27" s="15">
        <v>135</v>
      </c>
      <c r="V27" s="12">
        <v>3</v>
      </c>
      <c r="W27" s="13">
        <v>5</v>
      </c>
      <c r="X27" s="15">
        <v>125</v>
      </c>
      <c r="Y27" s="12">
        <v>3</v>
      </c>
      <c r="Z27" s="13">
        <v>5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</row>
    <row r="28" spans="1:43">
      <c r="A28" s="90">
        <v>3</v>
      </c>
      <c r="B28" s="91" t="s">
        <v>56</v>
      </c>
      <c r="C28" s="20"/>
      <c r="D28" s="20"/>
      <c r="E28" s="92"/>
      <c r="F28" s="19"/>
      <c r="G28" s="20"/>
      <c r="H28" s="21"/>
      <c r="I28" s="19"/>
      <c r="J28" s="20"/>
      <c r="K28" s="21"/>
      <c r="L28" s="19"/>
      <c r="M28" s="20"/>
      <c r="N28" s="21"/>
      <c r="O28" s="19"/>
      <c r="P28" s="20"/>
      <c r="Q28" s="21"/>
      <c r="R28" s="19">
        <v>130</v>
      </c>
      <c r="S28" s="20">
        <v>2</v>
      </c>
      <c r="T28" s="21">
        <v>4</v>
      </c>
      <c r="U28" s="19">
        <v>140</v>
      </c>
      <c r="V28" s="20">
        <v>2</v>
      </c>
      <c r="W28" s="21">
        <v>4</v>
      </c>
      <c r="X28" s="19">
        <v>145</v>
      </c>
      <c r="Y28" s="20">
        <v>2</v>
      </c>
      <c r="Z28" s="21">
        <v>4</v>
      </c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</row>
    <row r="29" spans="1:43">
      <c r="A29" s="15">
        <v>4</v>
      </c>
      <c r="B29" s="12" t="s">
        <v>13</v>
      </c>
      <c r="C29" s="12">
        <v>140</v>
      </c>
      <c r="D29" s="12">
        <v>6</v>
      </c>
      <c r="E29" s="17">
        <v>6</v>
      </c>
      <c r="F29" s="15">
        <v>155</v>
      </c>
      <c r="G29" s="12">
        <v>6</v>
      </c>
      <c r="H29" s="13">
        <v>6</v>
      </c>
      <c r="I29" s="15">
        <v>165</v>
      </c>
      <c r="J29" s="12">
        <v>6</v>
      </c>
      <c r="K29" s="13">
        <v>6</v>
      </c>
      <c r="L29" s="15">
        <v>175</v>
      </c>
      <c r="M29" s="12">
        <v>6</v>
      </c>
      <c r="N29" s="13">
        <v>6</v>
      </c>
      <c r="O29" s="15">
        <v>185</v>
      </c>
      <c r="P29" s="12">
        <v>6</v>
      </c>
      <c r="Q29" s="13">
        <v>6</v>
      </c>
      <c r="R29" s="15">
        <v>170</v>
      </c>
      <c r="S29" s="12">
        <v>6</v>
      </c>
      <c r="T29" s="13">
        <v>6</v>
      </c>
      <c r="U29" s="15">
        <v>180</v>
      </c>
      <c r="V29" s="12">
        <v>6</v>
      </c>
      <c r="W29" s="13">
        <v>6</v>
      </c>
      <c r="X29" s="15">
        <v>190</v>
      </c>
      <c r="Y29" s="12">
        <v>6</v>
      </c>
      <c r="Z29" s="13">
        <v>6</v>
      </c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</row>
    <row r="30" spans="1:43">
      <c r="A30" s="86">
        <v>5</v>
      </c>
      <c r="B30" s="87" t="s">
        <v>55</v>
      </c>
      <c r="C30" s="87"/>
      <c r="D30" s="87"/>
      <c r="E30" s="88"/>
      <c r="F30" s="86"/>
      <c r="G30" s="87"/>
      <c r="H30" s="89"/>
      <c r="I30" s="86"/>
      <c r="J30" s="87"/>
      <c r="K30" s="89"/>
      <c r="L30" s="86"/>
      <c r="M30" s="87"/>
      <c r="N30" s="89"/>
      <c r="O30" s="86"/>
      <c r="P30" s="87"/>
      <c r="Q30" s="89"/>
      <c r="R30" s="86">
        <v>26</v>
      </c>
      <c r="S30" s="87">
        <v>6</v>
      </c>
      <c r="T30" s="89">
        <v>6</v>
      </c>
      <c r="U30" s="86">
        <v>30</v>
      </c>
      <c r="V30" s="87">
        <v>5</v>
      </c>
      <c r="W30" s="89">
        <v>5</v>
      </c>
      <c r="X30" s="86">
        <v>35</v>
      </c>
      <c r="Y30" s="87">
        <v>4</v>
      </c>
      <c r="Z30" s="89">
        <v>4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43">
      <c r="A31" s="41">
        <v>6</v>
      </c>
      <c r="B31" s="42" t="s">
        <v>20</v>
      </c>
      <c r="C31" s="42">
        <v>40</v>
      </c>
      <c r="D31" s="42">
        <v>20</v>
      </c>
      <c r="E31" s="43">
        <v>1</v>
      </c>
      <c r="F31" s="41">
        <v>45</v>
      </c>
      <c r="G31" s="42">
        <v>10</v>
      </c>
      <c r="H31" s="44">
        <v>3</v>
      </c>
      <c r="I31" s="41">
        <v>50</v>
      </c>
      <c r="J31" s="42">
        <v>8</v>
      </c>
      <c r="K31" s="44">
        <v>3</v>
      </c>
      <c r="L31" s="96">
        <v>55</v>
      </c>
      <c r="M31" s="42">
        <v>8</v>
      </c>
      <c r="N31" s="44">
        <v>3</v>
      </c>
      <c r="O31" s="96">
        <v>60</v>
      </c>
      <c r="P31" s="42">
        <v>10</v>
      </c>
      <c r="Q31" s="44">
        <v>2</v>
      </c>
      <c r="R31" s="96">
        <v>50</v>
      </c>
      <c r="S31" s="42">
        <v>10</v>
      </c>
      <c r="T31" s="44">
        <v>3</v>
      </c>
      <c r="U31" s="41">
        <v>55</v>
      </c>
      <c r="V31" s="42">
        <v>10</v>
      </c>
      <c r="W31" s="44">
        <v>3</v>
      </c>
      <c r="X31" s="41">
        <v>65</v>
      </c>
      <c r="Y31" s="42">
        <v>8</v>
      </c>
      <c r="Z31" s="44">
        <v>3</v>
      </c>
    </row>
    <row r="32" spans="1:43" ht="24" thickBot="1">
      <c r="A32" s="37">
        <v>7</v>
      </c>
      <c r="B32" s="38" t="s">
        <v>21</v>
      </c>
      <c r="C32" s="38">
        <v>20</v>
      </c>
      <c r="D32" s="38">
        <v>8</v>
      </c>
      <c r="E32" s="45">
        <v>3</v>
      </c>
      <c r="F32" s="37">
        <v>24</v>
      </c>
      <c r="G32" s="38">
        <v>8</v>
      </c>
      <c r="H32" s="39">
        <v>3</v>
      </c>
      <c r="I32" s="37">
        <v>26</v>
      </c>
      <c r="J32" s="38">
        <v>8</v>
      </c>
      <c r="K32" s="39">
        <v>3</v>
      </c>
      <c r="L32" s="37">
        <v>35</v>
      </c>
      <c r="M32" s="38">
        <v>8</v>
      </c>
      <c r="N32" s="39">
        <v>3</v>
      </c>
      <c r="O32" s="37">
        <v>26</v>
      </c>
      <c r="P32" s="38">
        <v>8</v>
      </c>
      <c r="Q32" s="39">
        <v>4</v>
      </c>
      <c r="R32" s="37">
        <v>30</v>
      </c>
      <c r="S32" s="38">
        <v>8</v>
      </c>
      <c r="T32" s="39">
        <v>4</v>
      </c>
      <c r="U32" s="37">
        <v>35</v>
      </c>
      <c r="V32" s="38">
        <v>10</v>
      </c>
      <c r="W32" s="39">
        <v>3</v>
      </c>
      <c r="X32" s="37">
        <v>30</v>
      </c>
      <c r="Y32" s="38">
        <v>10</v>
      </c>
      <c r="Z32" s="39">
        <v>3</v>
      </c>
      <c r="AF32" s="277" t="s">
        <v>46</v>
      </c>
      <c r="AG32" s="277"/>
      <c r="AH32" s="277"/>
      <c r="AI32" s="277"/>
      <c r="AJ32" s="277"/>
      <c r="AK32" s="277"/>
      <c r="AL32" s="277"/>
      <c r="AM32" s="277"/>
    </row>
    <row r="33" spans="1:43" ht="15.75" thickBot="1">
      <c r="A33" s="246"/>
      <c r="B33" s="31" t="s">
        <v>38</v>
      </c>
      <c r="C33" s="27"/>
      <c r="D33" s="27"/>
      <c r="E33" s="27"/>
      <c r="F33" s="46">
        <v>1</v>
      </c>
      <c r="G33" s="27"/>
      <c r="H33" s="27"/>
      <c r="I33" s="46">
        <v>2</v>
      </c>
      <c r="J33" s="27"/>
      <c r="K33" s="27"/>
      <c r="L33" s="46">
        <v>3</v>
      </c>
      <c r="M33" s="27"/>
      <c r="N33" s="27"/>
      <c r="O33" s="46">
        <v>4</v>
      </c>
      <c r="P33" s="27"/>
      <c r="Q33" s="27"/>
      <c r="R33" s="46">
        <v>5</v>
      </c>
      <c r="S33" s="27"/>
      <c r="T33" s="27"/>
      <c r="U33" s="46">
        <v>6</v>
      </c>
      <c r="V33" s="27"/>
      <c r="W33" s="27"/>
      <c r="X33" s="46">
        <v>7</v>
      </c>
      <c r="Y33" s="27"/>
      <c r="Z33" s="30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</row>
    <row r="34" spans="1:43" ht="15.75" thickBot="1">
      <c r="A34" s="247"/>
      <c r="B34" s="32" t="s">
        <v>42</v>
      </c>
      <c r="C34" s="22"/>
      <c r="D34" s="22"/>
      <c r="E34" s="22"/>
      <c r="F34" s="47">
        <f>(F31*G31*H31+F32*G32*H32)/(G31*H31+G32*H32)</f>
        <v>35.666666666666664</v>
      </c>
      <c r="G34" s="60">
        <f>F34/$F$13</f>
        <v>0.4458333333333333</v>
      </c>
      <c r="H34" s="22"/>
      <c r="I34" s="47">
        <f>(I31*J31*K31+I32*J32*K32)/(J31*K31+J32*K32)</f>
        <v>38</v>
      </c>
      <c r="J34" s="60">
        <f>I34/$F$13</f>
        <v>0.47499999999999998</v>
      </c>
      <c r="K34" s="22"/>
      <c r="L34" s="47">
        <f>(L31*M31*N31+L32*M32*N32)/(M31*N31+M32*N32)</f>
        <v>45</v>
      </c>
      <c r="M34" s="60">
        <f>L34/$F$13</f>
        <v>0.5625</v>
      </c>
      <c r="N34" s="22"/>
      <c r="O34" s="47">
        <f>(O31*P31*Q31+O32*P32*Q32)/(P31*Q31+P32*Q32)</f>
        <v>39.07692307692308</v>
      </c>
      <c r="P34" s="60">
        <f>O34/$F$13</f>
        <v>0.4884615384615385</v>
      </c>
      <c r="Q34" s="22"/>
      <c r="R34" s="47">
        <f>(R31*S31*T31+R32*S32*T32)/(S31*T31+S32*T32)</f>
        <v>39.677419354838712</v>
      </c>
      <c r="S34" s="83">
        <f>R34/$F$13</f>
        <v>0.49596774193548387</v>
      </c>
      <c r="T34" s="22"/>
      <c r="U34" s="47">
        <f>(U31*V31*W31+U32*V32*W32)/(V31*W31+V32*W32)</f>
        <v>45</v>
      </c>
      <c r="V34" s="60">
        <f>U34/$F$13</f>
        <v>0.5625</v>
      </c>
      <c r="W34" s="22"/>
      <c r="X34" s="47">
        <f>(X31*Y31*Z31+X32*Y32*Z32)/(Y31*Z31+Y32*Z32)</f>
        <v>45.555555555555557</v>
      </c>
      <c r="Y34" s="61">
        <f>X34/$F$13</f>
        <v>0.56944444444444442</v>
      </c>
      <c r="Z34" s="24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</row>
    <row r="35" spans="1:43" ht="15.75" thickBot="1">
      <c r="A35" s="247"/>
      <c r="B35" s="33" t="s">
        <v>49</v>
      </c>
      <c r="C35" s="28"/>
      <c r="D35" s="28"/>
      <c r="E35" s="28"/>
      <c r="F35" s="48">
        <f>F31*G31*H31+F32*G32*H32</f>
        <v>1926</v>
      </c>
      <c r="G35" s="28"/>
      <c r="H35" s="28"/>
      <c r="I35" s="48">
        <f>I31*J31*K31+I32*J32*K32</f>
        <v>1824</v>
      </c>
      <c r="J35" s="28"/>
      <c r="K35" s="28"/>
      <c r="L35" s="48">
        <f>L31*M31*N31+L32*M32*N32</f>
        <v>2160</v>
      </c>
      <c r="M35" s="28"/>
      <c r="N35" s="28"/>
      <c r="O35" s="48">
        <f>O31*P31*Q31+O32*P32*Q32</f>
        <v>2032</v>
      </c>
      <c r="P35" s="28"/>
      <c r="Q35" s="28"/>
      <c r="R35" s="48">
        <f>R31*S31*T31+R32*S32*T32</f>
        <v>2460</v>
      </c>
      <c r="S35" s="28"/>
      <c r="T35" s="28"/>
      <c r="U35" s="48">
        <f>U31*V31*W31+U32*V32*W32</f>
        <v>2700</v>
      </c>
      <c r="V35" s="28"/>
      <c r="W35" s="28"/>
      <c r="X35" s="48">
        <f>X31*Y31*Z31+X32*Y32*Z32</f>
        <v>2460</v>
      </c>
      <c r="Y35" s="28"/>
      <c r="Z35" s="29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</row>
    <row r="36" spans="1:43">
      <c r="A36" s="247"/>
      <c r="B36" s="67" t="s">
        <v>40</v>
      </c>
      <c r="C36" s="68">
        <f>(X34-I34)/I34</f>
        <v>0.19883040935672519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4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</row>
    <row r="37" spans="1:43" ht="15.75" thickBot="1">
      <c r="A37" s="247"/>
      <c r="B37" s="67" t="s">
        <v>39</v>
      </c>
      <c r="C37" s="68">
        <f>(X35-I35)/I35</f>
        <v>0.34868421052631576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4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</row>
    <row r="38" spans="1:43" ht="15.75" thickBot="1">
      <c r="A38" s="248"/>
      <c r="B38" s="58" t="s">
        <v>50</v>
      </c>
      <c r="C38" s="59"/>
      <c r="D38" s="28"/>
      <c r="E38" s="28"/>
      <c r="F38" s="28"/>
      <c r="G38" s="28"/>
      <c r="H38" s="28"/>
      <c r="I38" s="238">
        <f>1000+I27*J27*K27+I29*J29*K29</f>
        <v>8380</v>
      </c>
      <c r="J38" s="237"/>
      <c r="K38" s="237"/>
      <c r="L38" s="238">
        <f>1000+L27*M27*N27+L29*M29*N29</f>
        <v>8860</v>
      </c>
      <c r="M38" s="237"/>
      <c r="N38" s="237"/>
      <c r="O38" s="238">
        <f t="shared" ref="O38" si="23">1000+O27*P27*Q27+O29*P29*Q29</f>
        <v>9385</v>
      </c>
      <c r="P38" s="237"/>
      <c r="Q38" s="237"/>
      <c r="R38" s="238">
        <f>1000+R27*S27*T27+R28*S28*T28+R29*S29*T29+R30*S30*T30</f>
        <v>10971</v>
      </c>
      <c r="S38" s="237"/>
      <c r="T38" s="237"/>
      <c r="U38" s="238">
        <f t="shared" ref="U38" si="24">1000+U27*V27*W27+U28*V28*W28+U29*V29*W29+U30*V30*W30</f>
        <v>11375</v>
      </c>
      <c r="V38" s="237"/>
      <c r="W38" s="237"/>
      <c r="X38" s="238">
        <f t="shared" ref="X38" si="25">1000+X27*Y27*Z27+X28*Y28*Z28+X29*Y29*Z29+X30*Y30*Z30</f>
        <v>11435</v>
      </c>
      <c r="Y38" s="237"/>
      <c r="Z38" s="237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</row>
    <row r="39" spans="1:43" ht="15.75" thickBot="1">
      <c r="A39" s="69"/>
      <c r="B39" s="70" t="s">
        <v>52</v>
      </c>
      <c r="C39" s="69"/>
      <c r="D39" s="69"/>
      <c r="E39" s="69"/>
      <c r="F39" s="69"/>
      <c r="G39" s="69"/>
      <c r="H39" s="69"/>
      <c r="I39" s="249">
        <f>I35+I38</f>
        <v>10204</v>
      </c>
      <c r="J39" s="249"/>
      <c r="K39" s="249"/>
      <c r="L39" s="249">
        <f t="shared" ref="L39" si="26">L35+L38</f>
        <v>11020</v>
      </c>
      <c r="M39" s="249"/>
      <c r="N39" s="249"/>
      <c r="O39" s="249">
        <f t="shared" ref="O39" si="27">O35+O38</f>
        <v>11417</v>
      </c>
      <c r="P39" s="249"/>
      <c r="Q39" s="249"/>
      <c r="R39" s="249">
        <f t="shared" ref="R39" si="28">R35+R38</f>
        <v>13431</v>
      </c>
      <c r="S39" s="249"/>
      <c r="T39" s="249"/>
      <c r="U39" s="249">
        <f t="shared" ref="U39" si="29">U35+U38</f>
        <v>14075</v>
      </c>
      <c r="V39" s="249"/>
      <c r="W39" s="249"/>
      <c r="X39" s="249">
        <f t="shared" ref="X39" si="30">X35+X38</f>
        <v>13895</v>
      </c>
      <c r="Y39" s="249"/>
      <c r="Z39" s="249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</row>
    <row r="40" spans="1:43" ht="15.75" thickBot="1">
      <c r="A40" s="69"/>
      <c r="B40" s="70" t="s">
        <v>57</v>
      </c>
      <c r="C40" s="69"/>
      <c r="D40" s="69"/>
      <c r="E40" s="69"/>
      <c r="F40" s="69"/>
      <c r="G40" s="69"/>
      <c r="H40" s="69"/>
      <c r="I40" s="93">
        <f>I39+I21</f>
        <v>17924</v>
      </c>
      <c r="J40" s="94"/>
      <c r="K40" s="95"/>
      <c r="L40" s="93">
        <f t="shared" ref="L40" si="31">L39+L21</f>
        <v>22130</v>
      </c>
      <c r="M40" s="94"/>
      <c r="N40" s="95"/>
      <c r="O40" s="93">
        <f t="shared" ref="O40" si="32">O39+O21</f>
        <v>24108</v>
      </c>
      <c r="P40" s="94"/>
      <c r="Q40" s="95"/>
      <c r="R40" s="93">
        <f t="shared" ref="R40" si="33">R39+R21</f>
        <v>25940</v>
      </c>
      <c r="S40" s="94"/>
      <c r="T40" s="95"/>
      <c r="U40" s="93">
        <f t="shared" ref="U40" si="34">U39+U21</f>
        <v>26885</v>
      </c>
      <c r="V40" s="94"/>
      <c r="W40" s="95"/>
      <c r="X40" s="93">
        <f t="shared" ref="X40" si="35">X39+X21</f>
        <v>26795</v>
      </c>
      <c r="Y40" s="94"/>
      <c r="Z40" s="94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</row>
    <row r="41" spans="1:43" ht="15.75" thickBot="1">
      <c r="I41" s="253"/>
      <c r="J41" s="253"/>
      <c r="K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</row>
    <row r="42" spans="1:43" ht="23.25">
      <c r="A42" s="243" t="s">
        <v>45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</row>
    <row r="43" spans="1:43">
      <c r="A43" s="23"/>
      <c r="B43" s="22"/>
      <c r="C43" s="22"/>
      <c r="D43" s="22"/>
      <c r="E43" s="22"/>
      <c r="F43" s="22"/>
      <c r="G43" s="22"/>
      <c r="H43" s="22"/>
      <c r="I43" s="22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40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</row>
    <row r="44" spans="1:43">
      <c r="A44" s="4" t="s">
        <v>34</v>
      </c>
      <c r="B44" s="3" t="s">
        <v>44</v>
      </c>
      <c r="C44" s="51" t="s">
        <v>29</v>
      </c>
      <c r="D44" s="51" t="s">
        <v>28</v>
      </c>
      <c r="E44" s="51" t="s">
        <v>27</v>
      </c>
      <c r="F44" s="51" t="s">
        <v>30</v>
      </c>
      <c r="G44" s="51" t="s">
        <v>26</v>
      </c>
      <c r="H44" s="51" t="s">
        <v>25</v>
      </c>
      <c r="I44" s="22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40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</row>
    <row r="45" spans="1:43">
      <c r="A45" s="4">
        <v>1</v>
      </c>
      <c r="B45" s="3" t="str">
        <f>B11</f>
        <v>Жим в раме</v>
      </c>
      <c r="C45" s="3">
        <f t="shared" ref="C45:E45" si="36">C11</f>
        <v>140</v>
      </c>
      <c r="D45" s="3">
        <f t="shared" si="36"/>
        <v>4</v>
      </c>
      <c r="E45" s="3">
        <f t="shared" si="36"/>
        <v>5</v>
      </c>
      <c r="F45" s="52"/>
      <c r="G45" s="3">
        <f>E45*D45</f>
        <v>20</v>
      </c>
      <c r="H45" s="3">
        <f>C45*G45</f>
        <v>2800</v>
      </c>
      <c r="I45" s="22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40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</row>
    <row r="46" spans="1:43">
      <c r="A46" s="4">
        <v>2</v>
      </c>
      <c r="B46" s="3" t="str">
        <f>B45</f>
        <v>Жим в раме</v>
      </c>
      <c r="C46" s="3">
        <v>145</v>
      </c>
      <c r="D46" s="3">
        <v>4</v>
      </c>
      <c r="E46" s="3">
        <v>5</v>
      </c>
      <c r="F46" s="52"/>
      <c r="G46" s="3">
        <f t="shared" ref="G46:G52" si="37">E46*D46</f>
        <v>20</v>
      </c>
      <c r="H46" s="3">
        <f t="shared" ref="H46:H52" si="38">C46*G46</f>
        <v>2900</v>
      </c>
      <c r="I46" s="22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40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</row>
    <row r="47" spans="1:43">
      <c r="A47" s="4">
        <v>3</v>
      </c>
      <c r="B47" s="3" t="str">
        <f t="shared" ref="B47:B52" si="39">B46</f>
        <v>Жим в раме</v>
      </c>
      <c r="C47" s="3">
        <v>150</v>
      </c>
      <c r="D47" s="3">
        <v>4</v>
      </c>
      <c r="E47" s="3">
        <v>5</v>
      </c>
      <c r="F47" s="52"/>
      <c r="G47" s="3">
        <f t="shared" si="37"/>
        <v>20</v>
      </c>
      <c r="H47" s="3">
        <f t="shared" si="38"/>
        <v>3000</v>
      </c>
      <c r="I47" s="22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40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</row>
    <row r="48" spans="1:43">
      <c r="A48" s="19">
        <v>4</v>
      </c>
      <c r="B48" s="20" t="str">
        <f t="shared" si="39"/>
        <v>Жим в раме</v>
      </c>
      <c r="C48" s="20">
        <v>155</v>
      </c>
      <c r="D48" s="20">
        <v>4</v>
      </c>
      <c r="E48" s="20">
        <v>5</v>
      </c>
      <c r="F48" s="52"/>
      <c r="G48" s="3">
        <f t="shared" si="37"/>
        <v>20</v>
      </c>
      <c r="H48" s="3">
        <f t="shared" si="38"/>
        <v>3100</v>
      </c>
      <c r="I48" s="22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40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</row>
    <row r="49" spans="1:43">
      <c r="A49" s="62">
        <v>5</v>
      </c>
      <c r="B49" s="53" t="str">
        <f t="shared" si="39"/>
        <v>Жим в раме</v>
      </c>
      <c r="C49" s="53">
        <v>135</v>
      </c>
      <c r="D49" s="53">
        <v>5</v>
      </c>
      <c r="E49" s="53">
        <v>5</v>
      </c>
      <c r="F49" s="52"/>
      <c r="G49" s="3">
        <f t="shared" si="37"/>
        <v>25</v>
      </c>
      <c r="H49" s="3">
        <f t="shared" si="38"/>
        <v>3375</v>
      </c>
      <c r="I49" s="22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40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</row>
    <row r="50" spans="1:43">
      <c r="A50" s="62">
        <v>6</v>
      </c>
      <c r="B50" s="53" t="str">
        <f t="shared" si="39"/>
        <v>Жим в раме</v>
      </c>
      <c r="C50" s="53">
        <v>145</v>
      </c>
      <c r="D50" s="53">
        <v>5</v>
      </c>
      <c r="E50" s="53">
        <v>5</v>
      </c>
      <c r="F50" s="52"/>
      <c r="G50" s="3">
        <f t="shared" si="37"/>
        <v>25</v>
      </c>
      <c r="H50" s="3">
        <f t="shared" si="38"/>
        <v>3625</v>
      </c>
      <c r="I50" s="22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40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</row>
    <row r="51" spans="1:43">
      <c r="A51" s="62">
        <v>7</v>
      </c>
      <c r="B51" s="53" t="str">
        <f t="shared" si="39"/>
        <v>Жим в раме</v>
      </c>
      <c r="C51" s="53">
        <v>150</v>
      </c>
      <c r="D51" s="53">
        <v>4</v>
      </c>
      <c r="E51" s="53">
        <v>5</v>
      </c>
      <c r="F51" s="52"/>
      <c r="G51" s="3">
        <f t="shared" si="37"/>
        <v>20</v>
      </c>
      <c r="H51" s="3">
        <f t="shared" si="38"/>
        <v>3000</v>
      </c>
      <c r="I51" s="22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40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</row>
    <row r="52" spans="1:43">
      <c r="A52" s="62">
        <v>8</v>
      </c>
      <c r="B52" s="53" t="str">
        <f t="shared" si="39"/>
        <v>Жим в раме</v>
      </c>
      <c r="C52" s="53">
        <v>160</v>
      </c>
      <c r="D52" s="53">
        <v>4</v>
      </c>
      <c r="E52" s="53">
        <v>5</v>
      </c>
      <c r="F52" s="52"/>
      <c r="G52" s="3">
        <f t="shared" si="37"/>
        <v>20</v>
      </c>
      <c r="H52" s="3">
        <f t="shared" si="38"/>
        <v>3200</v>
      </c>
      <c r="I52" s="22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40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</row>
    <row r="53" spans="1:43">
      <c r="A53" s="23"/>
      <c r="B53" s="22"/>
      <c r="C53" s="22"/>
      <c r="D53" s="22"/>
      <c r="E53" s="22"/>
      <c r="F53" s="22"/>
      <c r="G53" s="22"/>
      <c r="H53" s="22"/>
      <c r="I53" s="22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40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</row>
    <row r="54" spans="1:43">
      <c r="A54" s="23"/>
      <c r="B54" s="63"/>
      <c r="C54" s="22"/>
      <c r="D54" s="98" t="s">
        <v>58</v>
      </c>
      <c r="E54" s="98"/>
      <c r="F54" s="98"/>
      <c r="G54" s="22"/>
      <c r="H54" s="22"/>
      <c r="I54" s="22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40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</row>
    <row r="55" spans="1:43">
      <c r="A55" s="23"/>
      <c r="B55" s="64"/>
      <c r="C55" s="64"/>
      <c r="D55" s="22"/>
      <c r="E55" s="22"/>
      <c r="F55" s="22" t="s">
        <v>59</v>
      </c>
      <c r="G55" s="22"/>
      <c r="H55" s="22"/>
      <c r="I55" s="22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40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</row>
    <row r="56" spans="1:43">
      <c r="A56" s="23"/>
      <c r="B56" s="22"/>
      <c r="C56" s="22"/>
      <c r="D56" s="22"/>
      <c r="E56" s="22"/>
      <c r="F56" s="22" t="s">
        <v>60</v>
      </c>
      <c r="G56" s="22"/>
      <c r="H56" s="22"/>
      <c r="I56" s="22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40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</row>
    <row r="57" spans="1:43">
      <c r="A57" s="23"/>
      <c r="B57" s="22"/>
      <c r="C57" s="22"/>
      <c r="D57" s="22"/>
      <c r="E57" s="22"/>
      <c r="F57" s="22"/>
      <c r="G57" s="22"/>
      <c r="H57" s="22"/>
      <c r="I57" s="22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40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</row>
    <row r="58" spans="1:43">
      <c r="A58" s="4">
        <v>1</v>
      </c>
      <c r="B58" s="3" t="str">
        <f>B27</f>
        <v>Жим лежа с цеп.</v>
      </c>
      <c r="C58" s="3">
        <f>C27</f>
        <v>100</v>
      </c>
      <c r="D58" s="3">
        <v>3</v>
      </c>
      <c r="E58" s="3">
        <f>E27</f>
        <v>4</v>
      </c>
      <c r="F58" s="3"/>
      <c r="G58" s="3">
        <f t="shared" ref="G58:G65" si="40">E58*D58</f>
        <v>12</v>
      </c>
      <c r="H58" s="3">
        <f>G58*C58</f>
        <v>1200</v>
      </c>
      <c r="I58" s="22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40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</row>
    <row r="59" spans="1:43">
      <c r="A59" s="4">
        <v>2</v>
      </c>
      <c r="B59" s="3" t="str">
        <f>B58</f>
        <v>Жим лежа с цеп.</v>
      </c>
      <c r="C59" s="3">
        <v>110</v>
      </c>
      <c r="D59" s="3">
        <v>3</v>
      </c>
      <c r="E59" s="3">
        <v>4</v>
      </c>
      <c r="F59" s="3"/>
      <c r="G59" s="3">
        <f t="shared" si="40"/>
        <v>12</v>
      </c>
      <c r="H59" s="3">
        <f t="shared" ref="H59:H65" si="41">G59*C59</f>
        <v>1320</v>
      </c>
      <c r="I59" s="22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40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</row>
    <row r="60" spans="1:43">
      <c r="A60" s="4">
        <v>3</v>
      </c>
      <c r="B60" s="3" t="str">
        <f t="shared" ref="B60:B65" si="42">B59</f>
        <v>Жим лежа с цеп.</v>
      </c>
      <c r="C60" s="3">
        <v>120</v>
      </c>
      <c r="D60" s="3">
        <v>3</v>
      </c>
      <c r="E60" s="3">
        <v>4</v>
      </c>
      <c r="F60" s="3"/>
      <c r="G60" s="3">
        <f t="shared" si="40"/>
        <v>12</v>
      </c>
      <c r="H60" s="3">
        <f t="shared" si="41"/>
        <v>1440</v>
      </c>
      <c r="I60" s="22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40"/>
    </row>
    <row r="61" spans="1:43">
      <c r="A61" s="19">
        <v>4</v>
      </c>
      <c r="B61" s="20" t="str">
        <f t="shared" si="42"/>
        <v>Жим лежа с цеп.</v>
      </c>
      <c r="C61" s="20">
        <v>130</v>
      </c>
      <c r="D61" s="20">
        <v>3</v>
      </c>
      <c r="E61" s="20">
        <v>4</v>
      </c>
      <c r="F61" s="3"/>
      <c r="G61" s="3">
        <f t="shared" si="40"/>
        <v>12</v>
      </c>
      <c r="H61" s="3">
        <f t="shared" si="41"/>
        <v>1560</v>
      </c>
      <c r="I61" s="22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40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</row>
    <row r="62" spans="1:43" ht="23.25">
      <c r="A62" s="62">
        <v>5</v>
      </c>
      <c r="B62" s="53" t="str">
        <f t="shared" si="42"/>
        <v>Жим лежа с цеп.</v>
      </c>
      <c r="C62" s="53">
        <v>115</v>
      </c>
      <c r="D62" s="53">
        <v>3</v>
      </c>
      <c r="E62" s="53">
        <v>4</v>
      </c>
      <c r="F62" s="3"/>
      <c r="G62" s="3">
        <f t="shared" si="40"/>
        <v>12</v>
      </c>
      <c r="H62" s="3">
        <f t="shared" si="41"/>
        <v>1380</v>
      </c>
      <c r="I62" s="22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40"/>
      <c r="AB62" s="76"/>
      <c r="AC62" s="76"/>
      <c r="AD62" s="76"/>
      <c r="AE62" s="76"/>
      <c r="AF62" s="76"/>
      <c r="AG62" s="76"/>
      <c r="AH62" s="76"/>
      <c r="AI62" s="84" t="s">
        <v>53</v>
      </c>
      <c r="AJ62" s="76"/>
      <c r="AK62" s="76"/>
      <c r="AL62" s="76"/>
      <c r="AM62" s="76"/>
      <c r="AN62" s="76"/>
      <c r="AO62" s="76"/>
      <c r="AP62" s="76"/>
      <c r="AQ62" s="76"/>
    </row>
    <row r="63" spans="1:43">
      <c r="A63" s="62">
        <v>6</v>
      </c>
      <c r="B63" s="53" t="str">
        <f t="shared" si="42"/>
        <v>Жим лежа с цеп.</v>
      </c>
      <c r="C63" s="53">
        <v>125</v>
      </c>
      <c r="D63" s="53">
        <v>3</v>
      </c>
      <c r="E63" s="53">
        <v>4</v>
      </c>
      <c r="F63" s="3"/>
      <c r="G63" s="3">
        <f t="shared" si="40"/>
        <v>12</v>
      </c>
      <c r="H63" s="3">
        <f t="shared" si="41"/>
        <v>1500</v>
      </c>
      <c r="I63" s="22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40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</row>
    <row r="64" spans="1:43">
      <c r="A64" s="62">
        <v>7</v>
      </c>
      <c r="B64" s="53" t="str">
        <f t="shared" si="42"/>
        <v>Жим лежа с цеп.</v>
      </c>
      <c r="C64" s="53">
        <v>135</v>
      </c>
      <c r="D64" s="53">
        <v>3</v>
      </c>
      <c r="E64" s="53">
        <v>4</v>
      </c>
      <c r="F64" s="3"/>
      <c r="G64" s="3">
        <f t="shared" si="40"/>
        <v>12</v>
      </c>
      <c r="H64" s="3">
        <f t="shared" si="41"/>
        <v>1620</v>
      </c>
      <c r="I64" s="22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40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</row>
    <row r="65" spans="1:43">
      <c r="A65" s="62">
        <v>8</v>
      </c>
      <c r="B65" s="53" t="str">
        <f t="shared" si="42"/>
        <v>Жим лежа с цеп.</v>
      </c>
      <c r="C65" s="53">
        <v>125</v>
      </c>
      <c r="D65" s="53">
        <v>3</v>
      </c>
      <c r="E65" s="53">
        <v>4</v>
      </c>
      <c r="F65" s="3"/>
      <c r="G65" s="3">
        <f t="shared" si="40"/>
        <v>12</v>
      </c>
      <c r="H65" s="3">
        <f t="shared" si="41"/>
        <v>1500</v>
      </c>
      <c r="I65" s="22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40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</row>
    <row r="66" spans="1:43">
      <c r="A66" s="23"/>
      <c r="B66" s="22"/>
      <c r="C66" s="22"/>
      <c r="D66" s="22"/>
      <c r="E66" s="22"/>
      <c r="F66" s="22"/>
      <c r="G66" s="22"/>
      <c r="H66" s="22"/>
      <c r="I66" s="22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40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</row>
    <row r="67" spans="1:43">
      <c r="A67" s="23"/>
      <c r="B67" s="22"/>
      <c r="C67" s="22"/>
      <c r="D67" s="22"/>
      <c r="E67" s="22"/>
      <c r="F67" s="22"/>
      <c r="G67" s="22"/>
      <c r="H67" s="22"/>
      <c r="I67" s="22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40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</row>
    <row r="68" spans="1:43">
      <c r="A68" s="23"/>
      <c r="B68" s="22"/>
      <c r="C68" s="22"/>
      <c r="D68" s="22"/>
      <c r="E68" s="22"/>
      <c r="F68" s="22"/>
      <c r="G68" s="22"/>
      <c r="H68" s="22"/>
      <c r="I68" s="22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40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</row>
    <row r="69" spans="1:43">
      <c r="A69" s="23"/>
      <c r="B69" s="22"/>
      <c r="C69" s="22"/>
      <c r="D69" s="22"/>
      <c r="E69" s="22"/>
      <c r="F69" s="22"/>
      <c r="G69" s="22"/>
      <c r="H69" s="22"/>
      <c r="I69" s="22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40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</row>
    <row r="70" spans="1:43">
      <c r="A70" s="23"/>
      <c r="B70" s="22"/>
      <c r="C70" s="22"/>
      <c r="D70" s="22"/>
      <c r="E70" s="22"/>
      <c r="F70" s="22"/>
      <c r="G70" s="22"/>
      <c r="H70" s="22"/>
      <c r="I70" s="22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40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</row>
    <row r="71" spans="1:43">
      <c r="A71" s="23"/>
      <c r="B71" s="22"/>
      <c r="C71" s="22"/>
      <c r="D71" s="22"/>
      <c r="E71" s="22"/>
      <c r="F71" s="22"/>
      <c r="G71" s="22"/>
      <c r="H71" s="22"/>
      <c r="I71" s="22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40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</row>
    <row r="72" spans="1:43">
      <c r="A72" s="4">
        <v>1</v>
      </c>
      <c r="B72" s="3" t="str">
        <f>B29</f>
        <v>Жим лежа</v>
      </c>
      <c r="C72" s="3">
        <f>C29</f>
        <v>140</v>
      </c>
      <c r="D72" s="3">
        <f>D29</f>
        <v>6</v>
      </c>
      <c r="E72" s="3">
        <f>E29</f>
        <v>6</v>
      </c>
      <c r="F72" s="54">
        <f>C45/C3</f>
        <v>0.58333333333333337</v>
      </c>
      <c r="G72" s="3">
        <f>E72*D72</f>
        <v>36</v>
      </c>
      <c r="H72" s="3">
        <f>G72*C72</f>
        <v>5040</v>
      </c>
      <c r="I72" s="22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40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</row>
    <row r="73" spans="1:43">
      <c r="A73" s="4">
        <v>2</v>
      </c>
      <c r="B73" s="3" t="str">
        <f>B72</f>
        <v>Жим лежа</v>
      </c>
      <c r="C73" s="3">
        <v>155</v>
      </c>
      <c r="D73" s="3">
        <v>6</v>
      </c>
      <c r="E73" s="3">
        <v>6</v>
      </c>
      <c r="F73" s="54">
        <f>C73/$C$3</f>
        <v>0.64583333333333337</v>
      </c>
      <c r="G73" s="3">
        <f t="shared" ref="G73:G79" si="43">E73*D73</f>
        <v>36</v>
      </c>
      <c r="H73" s="3">
        <f t="shared" ref="H73:H79" si="44">G73*C73</f>
        <v>5580</v>
      </c>
      <c r="I73" s="22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40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</row>
    <row r="74" spans="1:43">
      <c r="A74" s="4">
        <v>3</v>
      </c>
      <c r="B74" s="3" t="str">
        <f t="shared" ref="B74:B79" si="45">B73</f>
        <v>Жим лежа</v>
      </c>
      <c r="C74" s="3">
        <v>165</v>
      </c>
      <c r="D74" s="3">
        <v>6</v>
      </c>
      <c r="E74" s="3">
        <v>6</v>
      </c>
      <c r="F74" s="54">
        <f t="shared" ref="F74:F79" si="46">C74/$C$3</f>
        <v>0.6875</v>
      </c>
      <c r="G74" s="3">
        <f t="shared" si="43"/>
        <v>36</v>
      </c>
      <c r="H74" s="3">
        <f t="shared" si="44"/>
        <v>5940</v>
      </c>
      <c r="I74" s="22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40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</row>
    <row r="75" spans="1:43">
      <c r="A75" s="65">
        <v>4</v>
      </c>
      <c r="B75" s="20" t="str">
        <f t="shared" si="45"/>
        <v>Жим лежа</v>
      </c>
      <c r="C75" s="20">
        <v>175</v>
      </c>
      <c r="D75" s="20">
        <v>6</v>
      </c>
      <c r="E75" s="20">
        <v>6</v>
      </c>
      <c r="F75" s="54">
        <f t="shared" si="46"/>
        <v>0.72916666666666663</v>
      </c>
      <c r="G75" s="3">
        <f t="shared" si="43"/>
        <v>36</v>
      </c>
      <c r="H75" s="3">
        <f t="shared" si="44"/>
        <v>6300</v>
      </c>
      <c r="I75" s="22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40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</row>
    <row r="76" spans="1:43">
      <c r="A76" s="62">
        <v>5</v>
      </c>
      <c r="B76" s="53" t="str">
        <f t="shared" si="45"/>
        <v>Жим лежа</v>
      </c>
      <c r="C76" s="53">
        <v>185</v>
      </c>
      <c r="D76" s="53">
        <v>6</v>
      </c>
      <c r="E76" s="53">
        <v>6</v>
      </c>
      <c r="F76" s="54">
        <f t="shared" si="46"/>
        <v>0.77083333333333337</v>
      </c>
      <c r="G76" s="3">
        <f t="shared" si="43"/>
        <v>36</v>
      </c>
      <c r="H76" s="3">
        <f t="shared" si="44"/>
        <v>6660</v>
      </c>
      <c r="I76" s="22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40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</row>
    <row r="77" spans="1:43">
      <c r="A77" s="62">
        <v>6</v>
      </c>
      <c r="B77" s="53" t="str">
        <f t="shared" si="45"/>
        <v>Жим лежа</v>
      </c>
      <c r="C77" s="53">
        <v>170</v>
      </c>
      <c r="D77" s="53">
        <v>6</v>
      </c>
      <c r="E77" s="53">
        <v>6</v>
      </c>
      <c r="F77" s="54">
        <f t="shared" si="46"/>
        <v>0.70833333333333337</v>
      </c>
      <c r="G77" s="3">
        <f t="shared" si="43"/>
        <v>36</v>
      </c>
      <c r="H77" s="3">
        <f t="shared" si="44"/>
        <v>6120</v>
      </c>
      <c r="I77" s="22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40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</row>
    <row r="78" spans="1:43">
      <c r="A78" s="62">
        <v>7</v>
      </c>
      <c r="B78" s="53" t="str">
        <f t="shared" si="45"/>
        <v>Жим лежа</v>
      </c>
      <c r="C78" s="53">
        <v>180</v>
      </c>
      <c r="D78" s="53">
        <v>6</v>
      </c>
      <c r="E78" s="53">
        <v>6</v>
      </c>
      <c r="F78" s="54">
        <f t="shared" si="46"/>
        <v>0.75</v>
      </c>
      <c r="G78" s="3">
        <f t="shared" si="43"/>
        <v>36</v>
      </c>
      <c r="H78" s="3">
        <f t="shared" si="44"/>
        <v>6480</v>
      </c>
      <c r="I78" s="22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40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</row>
    <row r="79" spans="1:43">
      <c r="A79" s="62">
        <v>8</v>
      </c>
      <c r="B79" s="53" t="str">
        <f t="shared" si="45"/>
        <v>Жим лежа</v>
      </c>
      <c r="C79" s="55">
        <v>190</v>
      </c>
      <c r="D79" s="55">
        <v>6</v>
      </c>
      <c r="E79" s="55">
        <v>6</v>
      </c>
      <c r="F79" s="56">
        <f t="shared" si="46"/>
        <v>0.79166666666666663</v>
      </c>
      <c r="G79" s="3">
        <f t="shared" si="43"/>
        <v>36</v>
      </c>
      <c r="H79" s="3">
        <f t="shared" si="44"/>
        <v>6840</v>
      </c>
      <c r="I79" s="22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40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</row>
    <row r="80" spans="1:43">
      <c r="A80" s="23"/>
      <c r="B80" s="22"/>
      <c r="C80" s="22"/>
      <c r="D80" s="22"/>
      <c r="E80" s="22"/>
      <c r="F80" s="22"/>
      <c r="G80" s="22"/>
      <c r="H80" s="22"/>
      <c r="I80" s="22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40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</row>
    <row r="81" spans="1:43">
      <c r="A81" s="23"/>
      <c r="B81" s="22"/>
      <c r="C81" s="22"/>
      <c r="D81" s="22"/>
      <c r="E81" s="22"/>
      <c r="F81" s="22"/>
      <c r="G81" s="22"/>
      <c r="H81" s="22"/>
      <c r="I81" s="22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40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</row>
    <row r="82" spans="1:43">
      <c r="A82" s="23"/>
      <c r="B82" s="22" t="s">
        <v>35</v>
      </c>
      <c r="C82" s="22">
        <f>SUM(C72:C79)/A79</f>
        <v>170</v>
      </c>
      <c r="D82" s="22"/>
      <c r="E82" s="22"/>
      <c r="F82" s="22"/>
      <c r="G82" s="22"/>
      <c r="H82" s="22"/>
      <c r="I82" s="22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40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</row>
    <row r="83" spans="1:43">
      <c r="A83" s="23"/>
      <c r="B83" s="22"/>
      <c r="C83" s="22"/>
      <c r="D83" s="22"/>
      <c r="E83" s="22"/>
      <c r="F83" s="22"/>
      <c r="G83" s="22"/>
      <c r="H83" s="22"/>
      <c r="I83" s="22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40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</row>
    <row r="84" spans="1:43">
      <c r="A84" s="23"/>
      <c r="B84" s="22"/>
      <c r="C84" s="22"/>
      <c r="D84" s="22"/>
      <c r="E84" s="22"/>
      <c r="F84" s="22"/>
      <c r="G84" s="22"/>
      <c r="H84" s="22"/>
      <c r="I84" s="22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40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</row>
    <row r="85" spans="1:43">
      <c r="A85" s="23"/>
      <c r="B85" s="22"/>
      <c r="C85" s="22"/>
      <c r="D85" s="22"/>
      <c r="E85" s="22"/>
      <c r="F85" s="22"/>
      <c r="G85" s="22"/>
      <c r="H85" s="22"/>
      <c r="I85" s="22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40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</row>
    <row r="86" spans="1:43" ht="15.75" thickBot="1">
      <c r="A86" s="57"/>
      <c r="B86" s="28"/>
      <c r="C86" s="28"/>
      <c r="D86" s="28"/>
      <c r="E86" s="28"/>
      <c r="F86" s="28"/>
      <c r="G86" s="28"/>
      <c r="H86" s="28"/>
      <c r="I86" s="28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2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</row>
    <row r="87" spans="1:43"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</row>
    <row r="88" spans="1:43"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</row>
    <row r="89" spans="1:43"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</row>
    <row r="90" spans="1:43"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</row>
    <row r="91" spans="1:43"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</row>
    <row r="92" spans="1:43"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</row>
    <row r="93" spans="1:43"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</row>
  </sheetData>
  <mergeCells count="59">
    <mergeCell ref="AF32:AM32"/>
    <mergeCell ref="I6:K6"/>
    <mergeCell ref="U38:W38"/>
    <mergeCell ref="R21:T21"/>
    <mergeCell ref="U21:W21"/>
    <mergeCell ref="X21:Z21"/>
    <mergeCell ref="O21:Q21"/>
    <mergeCell ref="AB4:AQ29"/>
    <mergeCell ref="X5:Z5"/>
    <mergeCell ref="X24:Z24"/>
    <mergeCell ref="I5:K5"/>
    <mergeCell ref="I24:K24"/>
    <mergeCell ref="L5:N5"/>
    <mergeCell ref="L24:N24"/>
    <mergeCell ref="O5:Q5"/>
    <mergeCell ref="R5:T5"/>
    <mergeCell ref="R24:T24"/>
    <mergeCell ref="U20:W20"/>
    <mergeCell ref="O24:Q24"/>
    <mergeCell ref="AE3:AO3"/>
    <mergeCell ref="U5:W5"/>
    <mergeCell ref="U24:W24"/>
    <mergeCell ref="R20:T20"/>
    <mergeCell ref="F5:H5"/>
    <mergeCell ref="F24:H24"/>
    <mergeCell ref="A8:A10"/>
    <mergeCell ref="B8:B10"/>
    <mergeCell ref="C5:E5"/>
    <mergeCell ref="A5:B5"/>
    <mergeCell ref="A24:B24"/>
    <mergeCell ref="C24:E24"/>
    <mergeCell ref="C6:E6"/>
    <mergeCell ref="A15:A20"/>
    <mergeCell ref="F6:H6"/>
    <mergeCell ref="AB63:AQ92"/>
    <mergeCell ref="I41:K41"/>
    <mergeCell ref="I39:K39"/>
    <mergeCell ref="L39:N39"/>
    <mergeCell ref="O39:Q39"/>
    <mergeCell ref="R39:T39"/>
    <mergeCell ref="U39:W39"/>
    <mergeCell ref="X39:Z39"/>
    <mergeCell ref="AB33:AQ59"/>
    <mergeCell ref="L20:N20"/>
    <mergeCell ref="O20:Q20"/>
    <mergeCell ref="I20:K20"/>
    <mergeCell ref="J43:Z86"/>
    <mergeCell ref="A42:Z42"/>
    <mergeCell ref="A33:A38"/>
    <mergeCell ref="I21:K21"/>
    <mergeCell ref="L38:N38"/>
    <mergeCell ref="O38:Q38"/>
    <mergeCell ref="I38:K38"/>
    <mergeCell ref="X20:Z20"/>
    <mergeCell ref="R38:T38"/>
    <mergeCell ref="X38:Z38"/>
    <mergeCell ref="L21:N21"/>
    <mergeCell ref="A25:A26"/>
    <mergeCell ref="B25:B26"/>
  </mergeCells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="85" zoomScaleNormal="85" workbookViewId="0">
      <selection activeCell="C14" sqref="C14"/>
    </sheetView>
  </sheetViews>
  <sheetFormatPr defaultRowHeight="15"/>
  <cols>
    <col min="2" max="2" width="28.42578125" customWidth="1"/>
    <col min="3" max="3" width="7.140625" style="18" customWidth="1"/>
    <col min="4" max="12" width="4.7109375" customWidth="1"/>
    <col min="13" max="13" width="7.28515625" customWidth="1"/>
    <col min="14" max="14" width="5.85546875" customWidth="1"/>
    <col min="15" max="15" width="5.5703125" customWidth="1"/>
    <col min="16" max="17" width="4.7109375" customWidth="1"/>
    <col min="18" max="18" width="5.7109375" customWidth="1"/>
    <col min="19" max="19" width="6.42578125" customWidth="1"/>
    <col min="20" max="27" width="4.7109375" customWidth="1"/>
    <col min="28" max="28" width="7.140625" customWidth="1"/>
    <col min="29" max="31" width="5.7109375" bestFit="1" customWidth="1"/>
    <col min="32" max="32" width="6.7109375" bestFit="1" customWidth="1"/>
    <col min="36" max="36" width="11.85546875" customWidth="1"/>
  </cols>
  <sheetData>
    <row r="1" spans="1:37" ht="15.75" thickBot="1">
      <c r="H1" s="113">
        <v>28</v>
      </c>
      <c r="I1" s="114">
        <v>35</v>
      </c>
      <c r="J1" s="114">
        <v>22</v>
      </c>
      <c r="K1" s="115">
        <v>15</v>
      </c>
      <c r="L1" t="s">
        <v>30</v>
      </c>
      <c r="R1">
        <v>108</v>
      </c>
    </row>
    <row r="2" spans="1:37" ht="15.75" thickBot="1">
      <c r="A2" t="s">
        <v>61</v>
      </c>
      <c r="H2" s="57">
        <v>467</v>
      </c>
      <c r="I2" s="28">
        <v>584</v>
      </c>
      <c r="J2" s="28">
        <v>368</v>
      </c>
      <c r="K2" s="29">
        <v>251</v>
      </c>
      <c r="L2" t="s">
        <v>94</v>
      </c>
      <c r="O2">
        <f>((0.5*3+0.58*3+0.65*3*3+0.7*3*2)+(0.58*4+0.67*4*3+0.71*4*2))/45</f>
        <v>0.65177777777777779</v>
      </c>
    </row>
    <row r="3" spans="1:37" ht="15.75" thickBot="1">
      <c r="B3" t="s">
        <v>92</v>
      </c>
      <c r="F3" t="s">
        <v>24</v>
      </c>
      <c r="G3">
        <v>260</v>
      </c>
      <c r="H3" s="113">
        <v>175</v>
      </c>
      <c r="I3" s="114">
        <v>219</v>
      </c>
      <c r="J3" s="114">
        <v>138</v>
      </c>
      <c r="K3" s="115">
        <v>94</v>
      </c>
      <c r="L3" t="s">
        <v>95</v>
      </c>
    </row>
    <row r="4" spans="1:37" ht="15.75" thickBot="1">
      <c r="A4" s="100" t="s">
        <v>62</v>
      </c>
      <c r="B4" s="101"/>
      <c r="C4" s="120"/>
      <c r="D4" s="121"/>
      <c r="E4" s="122"/>
      <c r="F4" s="123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76"/>
      <c r="AA4" s="76" t="s">
        <v>26</v>
      </c>
      <c r="AB4" s="76" t="s">
        <v>72</v>
      </c>
      <c r="AC4" s="76" t="s">
        <v>73</v>
      </c>
      <c r="AD4" s="76" t="s">
        <v>74</v>
      </c>
      <c r="AE4" s="76" t="s">
        <v>75</v>
      </c>
      <c r="AF4" s="76" t="s">
        <v>76</v>
      </c>
      <c r="AI4" t="s">
        <v>83</v>
      </c>
      <c r="AJ4" t="s">
        <v>78</v>
      </c>
    </row>
    <row r="5" spans="1:37">
      <c r="A5" s="4"/>
      <c r="B5" s="104" t="s">
        <v>64</v>
      </c>
      <c r="C5" s="106"/>
      <c r="D5" s="100"/>
      <c r="E5" s="101"/>
      <c r="F5" s="102"/>
      <c r="G5" s="22">
        <v>130</v>
      </c>
      <c r="H5" s="105">
        <f>G5/$G$3</f>
        <v>0.5</v>
      </c>
      <c r="I5" s="26">
        <v>3</v>
      </c>
      <c r="J5" s="26">
        <v>150</v>
      </c>
      <c r="K5" s="105">
        <f>J5/$G$3</f>
        <v>0.57692307692307687</v>
      </c>
      <c r="L5" s="26">
        <v>3</v>
      </c>
      <c r="M5" s="26">
        <v>170</v>
      </c>
      <c r="N5" s="105">
        <f>M5/$G$3</f>
        <v>0.65384615384615385</v>
      </c>
      <c r="O5" s="26">
        <v>3</v>
      </c>
      <c r="P5" s="26">
        <v>3</v>
      </c>
      <c r="Q5" s="26">
        <v>180</v>
      </c>
      <c r="R5" s="105">
        <f>Q5/G3</f>
        <v>0.69230769230769229</v>
      </c>
      <c r="S5" s="26">
        <v>3</v>
      </c>
      <c r="T5" s="26">
        <v>190</v>
      </c>
      <c r="U5" s="105">
        <f>T5/G3</f>
        <v>0.73076923076923073</v>
      </c>
      <c r="V5" s="128">
        <v>2</v>
      </c>
      <c r="W5" s="128">
        <v>200</v>
      </c>
      <c r="X5" s="105">
        <f>W5/G3</f>
        <v>0.76923076923076927</v>
      </c>
      <c r="Y5" s="129">
        <v>1</v>
      </c>
      <c r="AA5">
        <f>I5+L5+O5*P5+S5+V5+Y5</f>
        <v>21</v>
      </c>
      <c r="AB5">
        <v>6</v>
      </c>
      <c r="AC5">
        <v>12</v>
      </c>
      <c r="AD5">
        <v>3</v>
      </c>
      <c r="AJ5" t="s">
        <v>79</v>
      </c>
      <c r="AK5">
        <v>250</v>
      </c>
    </row>
    <row r="6" spans="1:37">
      <c r="A6" s="4"/>
      <c r="B6" s="104" t="s">
        <v>65</v>
      </c>
      <c r="C6" s="107">
        <f>G3*0.8</f>
        <v>208</v>
      </c>
      <c r="D6" s="4"/>
      <c r="E6" s="3"/>
      <c r="F6" s="5"/>
      <c r="G6" s="22">
        <v>120</v>
      </c>
      <c r="H6" s="40">
        <f>G6/$C$6</f>
        <v>0.57692307692307687</v>
      </c>
      <c r="I6" s="26">
        <v>4</v>
      </c>
      <c r="J6" s="26">
        <v>140</v>
      </c>
      <c r="K6" s="105">
        <f>J6/$C$6</f>
        <v>0.67307692307692313</v>
      </c>
      <c r="L6" s="26">
        <v>4</v>
      </c>
      <c r="M6" s="26">
        <v>3</v>
      </c>
      <c r="N6" s="119">
        <v>147.5</v>
      </c>
      <c r="O6" s="105">
        <f>N6/C6</f>
        <v>0.70913461538461542</v>
      </c>
      <c r="P6" s="26">
        <v>4</v>
      </c>
      <c r="Q6" s="26">
        <v>2</v>
      </c>
      <c r="R6" s="26"/>
      <c r="S6" s="26"/>
      <c r="T6" s="26"/>
      <c r="U6" s="26"/>
      <c r="V6" s="26"/>
      <c r="W6" s="26"/>
      <c r="X6" s="26"/>
      <c r="Y6" s="127"/>
      <c r="AA6">
        <f>I6+L6*M6+P6*Q6</f>
        <v>24</v>
      </c>
      <c r="AB6">
        <v>4</v>
      </c>
      <c r="AC6">
        <v>12</v>
      </c>
      <c r="AD6">
        <v>8</v>
      </c>
      <c r="AJ6" t="s">
        <v>80</v>
      </c>
      <c r="AK6">
        <v>71</v>
      </c>
    </row>
    <row r="7" spans="1:37">
      <c r="A7" s="4"/>
      <c r="B7" s="103" t="s">
        <v>66</v>
      </c>
      <c r="C7" s="107"/>
      <c r="D7" s="4">
        <v>30</v>
      </c>
      <c r="E7" s="3">
        <v>6</v>
      </c>
      <c r="F7" s="5">
        <v>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AA7">
        <v>36</v>
      </c>
      <c r="AI7" t="s">
        <v>84</v>
      </c>
      <c r="AJ7" t="s">
        <v>80</v>
      </c>
      <c r="AK7">
        <v>71</v>
      </c>
    </row>
    <row r="8" spans="1:37">
      <c r="A8" s="4"/>
      <c r="B8" s="103" t="s">
        <v>32</v>
      </c>
      <c r="C8" s="107"/>
      <c r="D8" s="4">
        <v>80</v>
      </c>
      <c r="E8" s="3">
        <v>6</v>
      </c>
      <c r="F8" s="5">
        <v>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AA8">
        <v>36</v>
      </c>
      <c r="AI8" t="s">
        <v>85</v>
      </c>
      <c r="AJ8" t="s">
        <v>79</v>
      </c>
      <c r="AK8">
        <v>250</v>
      </c>
    </row>
    <row r="9" spans="1:37">
      <c r="A9" s="4"/>
      <c r="B9" s="173" t="s">
        <v>36</v>
      </c>
      <c r="C9" s="107"/>
      <c r="D9" s="4">
        <v>60</v>
      </c>
      <c r="E9" s="3">
        <v>6</v>
      </c>
      <c r="F9" s="5">
        <v>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  <c r="AA9">
        <v>18</v>
      </c>
      <c r="AI9" t="s">
        <v>90</v>
      </c>
    </row>
    <row r="10" spans="1:37">
      <c r="A10" s="4"/>
      <c r="B10" s="173" t="s">
        <v>69</v>
      </c>
      <c r="C10" s="107"/>
      <c r="D10" s="4">
        <v>50</v>
      </c>
      <c r="E10" s="3">
        <v>6</v>
      </c>
      <c r="F10" s="5">
        <v>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AA10">
        <v>18</v>
      </c>
      <c r="AI10" t="s">
        <v>91</v>
      </c>
      <c r="AJ10" t="s">
        <v>79</v>
      </c>
      <c r="AK10">
        <v>250</v>
      </c>
    </row>
    <row r="11" spans="1:37" ht="15.75" thickBot="1">
      <c r="A11" s="4"/>
      <c r="B11" s="16"/>
      <c r="C11" s="107"/>
      <c r="D11" s="4"/>
      <c r="E11" s="3">
        <f>E5*F5+E6*F6+E7*F7+E8*F8+E9*F9+E10*F10</f>
        <v>108</v>
      </c>
      <c r="F11" s="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AA11">
        <f>SUM(AA5:AA10)</f>
        <v>153</v>
      </c>
      <c r="AG11" t="s">
        <v>26</v>
      </c>
      <c r="AH11" t="s">
        <v>77</v>
      </c>
    </row>
    <row r="12" spans="1:37" ht="15.75" thickBot="1">
      <c r="A12" s="4"/>
      <c r="B12" s="16"/>
      <c r="C12" s="107"/>
      <c r="D12" s="4"/>
      <c r="E12" s="3"/>
      <c r="F12" s="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AB12" s="110">
        <f>AB6+AB5</f>
        <v>10</v>
      </c>
      <c r="AC12" s="111">
        <f>AC6+AC5</f>
        <v>24</v>
      </c>
      <c r="AD12" s="112">
        <f>AD6+AD5</f>
        <v>11</v>
      </c>
      <c r="AG12" s="116">
        <f>SUM(AB12:AF12)</f>
        <v>45</v>
      </c>
      <c r="AH12" s="130">
        <f>(0.55*AB12+0.65*AC12+0.75*AD12)/AG12</f>
        <v>0.65222222222222226</v>
      </c>
    </row>
    <row r="13" spans="1:37">
      <c r="A13" s="4" t="s">
        <v>63</v>
      </c>
      <c r="B13" s="16"/>
      <c r="C13" s="107"/>
      <c r="D13" s="4"/>
      <c r="E13" s="3"/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4"/>
    </row>
    <row r="14" spans="1:37">
      <c r="A14" s="4"/>
      <c r="B14" s="104" t="s">
        <v>68</v>
      </c>
      <c r="C14" s="107">
        <f>G3*0.75</f>
        <v>195</v>
      </c>
      <c r="D14" s="4"/>
      <c r="E14" s="3"/>
      <c r="F14" s="5"/>
      <c r="G14" s="22">
        <v>100</v>
      </c>
      <c r="H14" s="40">
        <f>G14/$C14</f>
        <v>0.51282051282051277</v>
      </c>
      <c r="I14" s="26">
        <v>4</v>
      </c>
      <c r="J14" s="26">
        <v>120</v>
      </c>
      <c r="K14" s="40">
        <f>J14/$C14</f>
        <v>0.61538461538461542</v>
      </c>
      <c r="L14" s="26">
        <v>4</v>
      </c>
      <c r="M14" s="109">
        <v>137.5</v>
      </c>
      <c r="N14" s="40">
        <f>M14/$C14</f>
        <v>0.70512820512820518</v>
      </c>
      <c r="O14" s="26">
        <v>4</v>
      </c>
      <c r="P14" s="26">
        <v>3</v>
      </c>
      <c r="Q14" s="26">
        <v>145</v>
      </c>
      <c r="R14" s="40">
        <f>Q14/C14</f>
        <v>0.74358974358974361</v>
      </c>
      <c r="S14" s="26">
        <v>4</v>
      </c>
      <c r="T14" s="26">
        <v>3</v>
      </c>
      <c r="U14" s="26"/>
      <c r="V14" s="26"/>
      <c r="W14" s="26"/>
      <c r="X14" s="26"/>
      <c r="Y14" s="24"/>
      <c r="AA14">
        <f>I14+L14+O14*P14+S14*T14</f>
        <v>32</v>
      </c>
      <c r="AB14">
        <v>4</v>
      </c>
      <c r="AC14">
        <v>4</v>
      </c>
      <c r="AD14">
        <v>24</v>
      </c>
    </row>
    <row r="15" spans="1:37">
      <c r="A15" s="4"/>
      <c r="B15" s="104" t="s">
        <v>67</v>
      </c>
      <c r="C15" s="107">
        <f>G3*1.1</f>
        <v>286</v>
      </c>
      <c r="D15" s="4"/>
      <c r="E15" s="3"/>
      <c r="F15" s="5"/>
      <c r="G15" s="22">
        <v>160</v>
      </c>
      <c r="H15" s="40">
        <f>G15/C$15</f>
        <v>0.55944055944055948</v>
      </c>
      <c r="I15" s="26">
        <v>4</v>
      </c>
      <c r="J15" s="26">
        <v>180</v>
      </c>
      <c r="K15" s="40">
        <f>J15/C15</f>
        <v>0.62937062937062938</v>
      </c>
      <c r="L15" s="26">
        <v>4</v>
      </c>
      <c r="M15" s="26">
        <v>200</v>
      </c>
      <c r="N15" s="40">
        <f>M15/C15</f>
        <v>0.69930069930069927</v>
      </c>
      <c r="O15" s="26">
        <v>4</v>
      </c>
      <c r="P15" s="26">
        <v>3</v>
      </c>
      <c r="Q15" s="26">
        <v>210</v>
      </c>
      <c r="R15" s="40">
        <f>Q15/C15</f>
        <v>0.73426573426573427</v>
      </c>
      <c r="S15" s="26">
        <v>4</v>
      </c>
      <c r="T15" s="26">
        <v>3</v>
      </c>
      <c r="U15" s="26"/>
      <c r="V15" s="26"/>
      <c r="W15" s="26"/>
      <c r="X15" s="26"/>
      <c r="Y15" s="24"/>
      <c r="AA15">
        <f>I15+L15+O15*P15+S15*T15</f>
        <v>32</v>
      </c>
      <c r="AB15">
        <v>4</v>
      </c>
      <c r="AC15">
        <v>4</v>
      </c>
      <c r="AD15">
        <v>24</v>
      </c>
    </row>
    <row r="16" spans="1:37">
      <c r="A16" s="4"/>
      <c r="B16" s="104" t="s">
        <v>13</v>
      </c>
      <c r="C16" s="107"/>
      <c r="D16" s="4"/>
      <c r="E16" s="3"/>
      <c r="F16" s="5"/>
      <c r="G16" s="26">
        <v>170</v>
      </c>
      <c r="H16" s="40">
        <f>G16/G3</f>
        <v>0.65384615384615385</v>
      </c>
      <c r="I16" s="26">
        <v>5</v>
      </c>
      <c r="J16" s="26">
        <v>5</v>
      </c>
      <c r="K16" s="22"/>
      <c r="L16" s="26"/>
      <c r="M16" s="22"/>
      <c r="N16" s="22"/>
      <c r="O16" s="22"/>
      <c r="P16" s="22"/>
      <c r="Q16" s="26"/>
      <c r="R16" s="22"/>
      <c r="S16" s="26"/>
      <c r="T16" s="26"/>
      <c r="U16" s="26"/>
      <c r="V16" s="26"/>
      <c r="W16" s="26"/>
      <c r="X16" s="26"/>
      <c r="Y16" s="127"/>
      <c r="AA16">
        <v>25</v>
      </c>
      <c r="AC16">
        <v>25</v>
      </c>
    </row>
    <row r="17" spans="1:34">
      <c r="A17" s="4"/>
      <c r="B17" s="103" t="s">
        <v>71</v>
      </c>
      <c r="C17" s="107"/>
      <c r="D17" s="4">
        <v>90</v>
      </c>
      <c r="E17" s="3">
        <v>6</v>
      </c>
      <c r="F17" s="5">
        <v>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4"/>
      <c r="AA17">
        <v>36</v>
      </c>
    </row>
    <row r="18" spans="1:34">
      <c r="A18" s="4"/>
      <c r="B18" s="108" t="s">
        <v>81</v>
      </c>
      <c r="C18" s="107"/>
      <c r="D18" s="15">
        <v>30</v>
      </c>
      <c r="E18" s="12">
        <v>6</v>
      </c>
      <c r="F18" s="13">
        <v>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AA18">
        <v>18</v>
      </c>
    </row>
    <row r="19" spans="1:34">
      <c r="A19" s="4"/>
      <c r="B19" s="108" t="s">
        <v>82</v>
      </c>
      <c r="C19" s="107"/>
      <c r="D19" s="15">
        <v>50</v>
      </c>
      <c r="E19" s="12">
        <v>6</v>
      </c>
      <c r="F19" s="13">
        <v>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AA19">
        <v>18</v>
      </c>
    </row>
    <row r="20" spans="1:34" ht="15.75" thickBot="1">
      <c r="A20" s="4"/>
      <c r="B20" s="16"/>
      <c r="C20" s="107"/>
      <c r="D20" s="4"/>
      <c r="E20" s="3">
        <f>E14*F14+E15*F15+E16*F16+E18*F18+E19*F19+E17*F17</f>
        <v>72</v>
      </c>
      <c r="F20" s="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  <c r="AA20">
        <f>SUM(AA14:AA19)</f>
        <v>161</v>
      </c>
    </row>
    <row r="21" spans="1:34" ht="15.75" thickBot="1">
      <c r="A21" s="4"/>
      <c r="B21" s="16"/>
      <c r="C21" s="107"/>
      <c r="D21" s="4"/>
      <c r="E21" s="3"/>
      <c r="F21" s="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  <c r="AB21" s="110">
        <v>8</v>
      </c>
      <c r="AC21" s="111">
        <v>29</v>
      </c>
      <c r="AD21" s="112">
        <v>48</v>
      </c>
      <c r="AG21" s="116">
        <f>SUM(AB21:AF21)</f>
        <v>85</v>
      </c>
      <c r="AH21" s="130">
        <f>(0.55*AB21+0.65*AC21+0.75*AD21)/AG21</f>
        <v>0.69705882352941173</v>
      </c>
    </row>
    <row r="22" spans="1:34">
      <c r="A22" s="4" t="s">
        <v>16</v>
      </c>
      <c r="B22" s="16"/>
      <c r="C22" s="107"/>
      <c r="D22" s="4"/>
      <c r="E22" s="3"/>
      <c r="F22" s="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/>
    </row>
    <row r="23" spans="1:34">
      <c r="A23" s="4"/>
      <c r="B23" s="104" t="s">
        <v>56</v>
      </c>
      <c r="C23" s="107">
        <f>G3*0.9</f>
        <v>234</v>
      </c>
      <c r="D23" s="4"/>
      <c r="E23" s="3"/>
      <c r="F23" s="5"/>
      <c r="G23" s="22">
        <v>130</v>
      </c>
      <c r="H23" s="40">
        <f>G23/C23</f>
        <v>0.55555555555555558</v>
      </c>
      <c r="I23" s="26">
        <v>3</v>
      </c>
      <c r="J23" s="26">
        <v>155</v>
      </c>
      <c r="K23" s="40">
        <f>J23/C23</f>
        <v>0.66239316239316237</v>
      </c>
      <c r="L23" s="26">
        <v>3</v>
      </c>
      <c r="M23" s="26">
        <v>3</v>
      </c>
      <c r="N23" s="26">
        <v>160</v>
      </c>
      <c r="O23" s="40">
        <f>N23/C23</f>
        <v>0.68376068376068377</v>
      </c>
      <c r="P23" s="26">
        <v>3</v>
      </c>
      <c r="Q23" s="26">
        <v>165</v>
      </c>
      <c r="R23" s="40">
        <f>Q23/C23</f>
        <v>0.70512820512820518</v>
      </c>
      <c r="S23" s="26">
        <v>3</v>
      </c>
      <c r="T23" s="26">
        <v>170</v>
      </c>
      <c r="U23" s="40">
        <f>T23/C23</f>
        <v>0.72649572649572647</v>
      </c>
      <c r="V23" s="26">
        <v>3</v>
      </c>
      <c r="W23" s="22"/>
      <c r="X23" s="22"/>
      <c r="Y23" s="24"/>
      <c r="AA23">
        <f>I23+L23*M23+P23+S23+V23</f>
        <v>21</v>
      </c>
      <c r="AB23">
        <v>3</v>
      </c>
      <c r="AC23">
        <v>12</v>
      </c>
      <c r="AD23">
        <v>6</v>
      </c>
    </row>
    <row r="24" spans="1:34">
      <c r="A24" s="4"/>
      <c r="B24" s="104" t="s">
        <v>70</v>
      </c>
      <c r="C24" s="107">
        <f>G3*1.03</f>
        <v>267.8</v>
      </c>
      <c r="D24" s="4"/>
      <c r="E24" s="3"/>
      <c r="F24" s="5"/>
      <c r="G24" s="22">
        <v>180</v>
      </c>
      <c r="H24" s="40">
        <f>G24/C24</f>
        <v>0.67214339058999251</v>
      </c>
      <c r="I24" s="26">
        <v>4</v>
      </c>
      <c r="J24" s="26">
        <v>3</v>
      </c>
      <c r="K24" s="26">
        <v>200</v>
      </c>
      <c r="L24" s="40">
        <f>K24/C24</f>
        <v>0.74682598954443613</v>
      </c>
      <c r="M24" s="26">
        <v>4</v>
      </c>
      <c r="N24" s="26">
        <v>2</v>
      </c>
      <c r="O24" s="26">
        <v>220</v>
      </c>
      <c r="P24" s="40">
        <f>O24/C24</f>
        <v>0.82150858849887975</v>
      </c>
      <c r="Q24" s="26">
        <v>2</v>
      </c>
      <c r="R24" s="26">
        <v>240</v>
      </c>
      <c r="S24" s="131">
        <f>R24/C24</f>
        <v>0.89619118745332338</v>
      </c>
      <c r="T24" s="26">
        <v>1</v>
      </c>
      <c r="U24" s="26">
        <v>260</v>
      </c>
      <c r="V24" s="40">
        <f>U24/C24</f>
        <v>0.970873786407767</v>
      </c>
      <c r="W24" s="26">
        <v>1</v>
      </c>
      <c r="X24" s="22"/>
      <c r="Y24" s="24"/>
      <c r="AA24">
        <f>I24*J24+M24*N24+Q24+T24+W24</f>
        <v>24</v>
      </c>
      <c r="AC24">
        <v>12</v>
      </c>
      <c r="AD24">
        <v>8</v>
      </c>
      <c r="AE24">
        <v>3</v>
      </c>
      <c r="AF24">
        <v>1</v>
      </c>
    </row>
    <row r="25" spans="1:34">
      <c r="A25" s="4"/>
      <c r="B25" s="103" t="s">
        <v>33</v>
      </c>
      <c r="C25" s="107"/>
      <c r="D25" s="4">
        <v>35</v>
      </c>
      <c r="E25" s="3">
        <v>6</v>
      </c>
      <c r="F25" s="5">
        <v>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AA25">
        <v>36</v>
      </c>
    </row>
    <row r="26" spans="1:34">
      <c r="A26" s="4"/>
      <c r="B26" s="103" t="s">
        <v>100</v>
      </c>
      <c r="C26" s="107"/>
      <c r="D26" s="4">
        <v>18</v>
      </c>
      <c r="E26" s="3">
        <v>6</v>
      </c>
      <c r="F26" s="5">
        <v>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/>
      <c r="AA26">
        <v>36</v>
      </c>
    </row>
    <row r="27" spans="1:34">
      <c r="A27" s="4"/>
      <c r="B27" s="181" t="s">
        <v>36</v>
      </c>
      <c r="C27" s="182"/>
      <c r="D27" s="183">
        <v>40</v>
      </c>
      <c r="E27" s="184">
        <v>6</v>
      </c>
      <c r="F27" s="185">
        <v>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/>
      <c r="AA27">
        <v>18</v>
      </c>
    </row>
    <row r="28" spans="1:34" ht="15.75" thickBot="1">
      <c r="A28" s="6"/>
      <c r="B28" s="186" t="s">
        <v>105</v>
      </c>
      <c r="C28" s="187"/>
      <c r="D28" s="188">
        <v>30</v>
      </c>
      <c r="E28" s="189">
        <v>6</v>
      </c>
      <c r="F28" s="190">
        <v>3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AA28">
        <v>18</v>
      </c>
    </row>
    <row r="29" spans="1:34" ht="15.75" thickBot="1">
      <c r="E29">
        <f>E23*F23+E24*F24+E25*F25+E26*F26+E27*F27+E28*F28</f>
        <v>108</v>
      </c>
      <c r="AA29">
        <f>SUM(AA23:AA28)</f>
        <v>153</v>
      </c>
    </row>
    <row r="30" spans="1:34" ht="15.75" thickBot="1">
      <c r="AB30" s="110">
        <v>3</v>
      </c>
      <c r="AC30" s="111">
        <v>24</v>
      </c>
      <c r="AD30" s="111">
        <v>14</v>
      </c>
      <c r="AE30" s="111">
        <v>3</v>
      </c>
      <c r="AF30" s="112">
        <v>1</v>
      </c>
      <c r="AG30" s="117">
        <f>SUM(AB30:AF30)</f>
        <v>45</v>
      </c>
      <c r="AH30" s="130">
        <f>(0.55*AB30+0.65*AC30+0.75*AD30+0.85*AE30+0.95*AF30)/AG30</f>
        <v>0.69444444444444442</v>
      </c>
    </row>
    <row r="32" spans="1:34" ht="15.75" thickBot="1">
      <c r="AA32">
        <f>AA29+AA20+AA11</f>
        <v>467</v>
      </c>
    </row>
    <row r="33" spans="28:34" ht="15.75" thickBot="1">
      <c r="AB33" s="116">
        <f>AB30+AB21+AB12</f>
        <v>21</v>
      </c>
      <c r="AC33" s="117">
        <f>AC30+AC21+AC12</f>
        <v>77</v>
      </c>
      <c r="AD33" s="117">
        <f>AD30+AD21+AD12</f>
        <v>73</v>
      </c>
      <c r="AE33" s="117">
        <v>3</v>
      </c>
      <c r="AF33" s="118">
        <v>1</v>
      </c>
      <c r="AG33" s="132">
        <f>AB33+AC33+AD33+AE33+AF33</f>
        <v>175</v>
      </c>
      <c r="AH33" s="133">
        <f>(0.55*AB33+0.65*AC33+0.75*AD33+0.85*AE33+0.95*AF33)/AG33</f>
        <v>0.68485714285714294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5"/>
  <sheetViews>
    <sheetView topLeftCell="A16" zoomScale="85" zoomScaleNormal="85" workbookViewId="0">
      <selection activeCell="C27" sqref="C27"/>
    </sheetView>
  </sheetViews>
  <sheetFormatPr defaultRowHeight="15"/>
  <cols>
    <col min="1" max="1" width="3.7109375" customWidth="1"/>
    <col min="2" max="2" width="19" customWidth="1"/>
    <col min="3" max="3" width="5" customWidth="1"/>
    <col min="4" max="6" width="4.7109375" customWidth="1"/>
    <col min="7" max="7" width="4.140625" bestFit="1" customWidth="1"/>
    <col min="8" max="8" width="4.7109375" customWidth="1"/>
    <col min="9" max="9" width="4" bestFit="1" customWidth="1"/>
    <col min="10" max="10" width="4.140625" bestFit="1" customWidth="1"/>
    <col min="11" max="11" width="6.140625" bestFit="1" customWidth="1"/>
    <col min="12" max="12" width="4.85546875" bestFit="1" customWidth="1"/>
    <col min="13" max="13" width="4.140625" bestFit="1" customWidth="1"/>
    <col min="14" max="15" width="4.7109375" customWidth="1"/>
    <col min="16" max="16" width="4.140625" bestFit="1" customWidth="1"/>
    <col min="17" max="17" width="4.7109375" customWidth="1"/>
    <col min="18" max="18" width="4.28515625" customWidth="1"/>
    <col min="19" max="19" width="4.7109375" bestFit="1" customWidth="1"/>
    <col min="20" max="23" width="4.42578125" customWidth="1"/>
    <col min="24" max="24" width="4.7109375" bestFit="1" customWidth="1"/>
    <col min="25" max="25" width="2.140625" bestFit="1" customWidth="1"/>
    <col min="26" max="26" width="4.42578125" customWidth="1"/>
    <col min="27" max="27" width="4.7109375" bestFit="1" customWidth="1"/>
    <col min="28" max="28" width="2.140625" bestFit="1" customWidth="1"/>
    <col min="30" max="34" width="5.7109375" customWidth="1"/>
    <col min="35" max="35" width="6.42578125" customWidth="1"/>
  </cols>
  <sheetData>
    <row r="1" spans="1:37" ht="15.75" thickBot="1">
      <c r="C1" s="18"/>
      <c r="D1" s="18"/>
      <c r="E1" s="18"/>
      <c r="F1" s="18"/>
      <c r="K1" s="113">
        <v>28</v>
      </c>
      <c r="L1" s="114">
        <v>35</v>
      </c>
      <c r="M1" s="114">
        <v>22</v>
      </c>
      <c r="N1" s="115">
        <v>15</v>
      </c>
    </row>
    <row r="2" spans="1:37" ht="15.75" thickBot="1">
      <c r="A2" t="s">
        <v>61</v>
      </c>
      <c r="C2" s="18"/>
      <c r="D2" s="18"/>
      <c r="E2" s="18"/>
      <c r="F2" s="18"/>
      <c r="K2" s="57">
        <v>467</v>
      </c>
      <c r="L2" s="134">
        <v>584</v>
      </c>
      <c r="M2" s="28">
        <v>368</v>
      </c>
      <c r="N2" s="29">
        <v>251</v>
      </c>
      <c r="O2" t="s">
        <v>94</v>
      </c>
    </row>
    <row r="3" spans="1:37" ht="15.75" thickBot="1">
      <c r="B3" t="s">
        <v>93</v>
      </c>
      <c r="I3" t="s">
        <v>24</v>
      </c>
      <c r="J3">
        <v>260</v>
      </c>
      <c r="K3" s="113">
        <v>175</v>
      </c>
      <c r="L3" s="135">
        <v>219</v>
      </c>
      <c r="M3" s="114">
        <v>138</v>
      </c>
      <c r="N3" s="115">
        <v>94</v>
      </c>
      <c r="O3" t="s">
        <v>95</v>
      </c>
    </row>
    <row r="5" spans="1:37" ht="15.75" thickBot="1"/>
    <row r="6" spans="1:37">
      <c r="A6" s="6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0"/>
    </row>
    <row r="7" spans="1:3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4"/>
      <c r="AD7" s="76" t="s">
        <v>26</v>
      </c>
      <c r="AE7" s="76" t="s">
        <v>72</v>
      </c>
      <c r="AF7" s="76" t="s">
        <v>73</v>
      </c>
      <c r="AG7" s="76" t="s">
        <v>74</v>
      </c>
      <c r="AH7" s="76" t="s">
        <v>75</v>
      </c>
      <c r="AI7" s="76" t="s">
        <v>76</v>
      </c>
    </row>
    <row r="8" spans="1:37">
      <c r="A8" s="4">
        <v>1</v>
      </c>
      <c r="B8" s="138" t="s">
        <v>17</v>
      </c>
      <c r="C8" s="3">
        <v>200</v>
      </c>
      <c r="D8" s="3"/>
      <c r="E8" s="3"/>
      <c r="F8" s="3"/>
      <c r="G8" s="22">
        <v>120</v>
      </c>
      <c r="H8" s="40">
        <f>G8/C8</f>
        <v>0.6</v>
      </c>
      <c r="I8" s="22">
        <v>5</v>
      </c>
      <c r="J8" s="22">
        <v>130</v>
      </c>
      <c r="K8" s="40">
        <f>J8/C8</f>
        <v>0.65</v>
      </c>
      <c r="L8" s="22">
        <v>4</v>
      </c>
      <c r="M8" s="22">
        <v>140</v>
      </c>
      <c r="N8" s="40">
        <f>M8/C8</f>
        <v>0.7</v>
      </c>
      <c r="O8" s="22">
        <v>4</v>
      </c>
      <c r="P8" s="22">
        <v>150</v>
      </c>
      <c r="Q8" s="40">
        <f>P8/C8</f>
        <v>0.75</v>
      </c>
      <c r="R8" s="22">
        <v>4</v>
      </c>
      <c r="S8" s="26">
        <v>180</v>
      </c>
      <c r="T8" s="40">
        <f>S8/C8</f>
        <v>0.9</v>
      </c>
      <c r="U8" s="26">
        <v>4</v>
      </c>
      <c r="V8" s="22"/>
      <c r="W8" s="22"/>
      <c r="X8" s="22"/>
      <c r="Y8" s="22"/>
      <c r="Z8" s="22"/>
      <c r="AA8" s="22"/>
      <c r="AB8" s="24"/>
      <c r="AD8">
        <f>SUM(AE8:AI8)</f>
        <v>21</v>
      </c>
      <c r="AE8">
        <v>5</v>
      </c>
      <c r="AF8">
        <v>8</v>
      </c>
      <c r="AG8">
        <v>4</v>
      </c>
      <c r="AH8">
        <v>4</v>
      </c>
    </row>
    <row r="9" spans="1:37">
      <c r="A9" s="4">
        <v>2</v>
      </c>
      <c r="B9" s="138" t="s">
        <v>13</v>
      </c>
      <c r="C9" s="3"/>
      <c r="D9" s="3"/>
      <c r="E9" s="3"/>
      <c r="F9" s="3"/>
      <c r="G9" s="22">
        <v>130</v>
      </c>
      <c r="H9" s="40">
        <f>G9/J3</f>
        <v>0.5</v>
      </c>
      <c r="I9" s="22">
        <v>6</v>
      </c>
      <c r="J9" s="22">
        <v>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4"/>
      <c r="AD9">
        <f>SUM(AE9:AI9)</f>
        <v>36</v>
      </c>
      <c r="AE9">
        <v>36</v>
      </c>
    </row>
    <row r="10" spans="1:37">
      <c r="A10" s="4">
        <v>3</v>
      </c>
      <c r="B10" s="55" t="s">
        <v>71</v>
      </c>
      <c r="C10" s="3"/>
      <c r="D10" s="3">
        <v>60</v>
      </c>
      <c r="E10" s="3">
        <v>6</v>
      </c>
      <c r="F10" s="3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4"/>
      <c r="AD10">
        <f>E10*F10</f>
        <v>36</v>
      </c>
    </row>
    <row r="11" spans="1:37">
      <c r="A11" s="4">
        <v>4</v>
      </c>
      <c r="B11" s="55" t="s">
        <v>32</v>
      </c>
      <c r="C11" s="3"/>
      <c r="D11" s="3">
        <v>50</v>
      </c>
      <c r="E11" s="3">
        <v>6</v>
      </c>
      <c r="F11" s="3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4"/>
      <c r="AD11">
        <f t="shared" ref="AD11:AD13" si="0">E11*F11</f>
        <v>36</v>
      </c>
    </row>
    <row r="12" spans="1:37">
      <c r="A12" s="4">
        <v>5</v>
      </c>
      <c r="B12" s="139" t="s">
        <v>36</v>
      </c>
      <c r="C12" s="3"/>
      <c r="D12" s="3">
        <v>40</v>
      </c>
      <c r="E12" s="3">
        <v>6</v>
      </c>
      <c r="F12" s="3">
        <v>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D12">
        <f t="shared" si="0"/>
        <v>12</v>
      </c>
    </row>
    <row r="13" spans="1:37" ht="15.75" thickBot="1">
      <c r="A13" s="4">
        <v>6</v>
      </c>
      <c r="B13" s="139" t="s">
        <v>81</v>
      </c>
      <c r="C13" s="3"/>
      <c r="D13" s="3">
        <v>50</v>
      </c>
      <c r="E13" s="3">
        <v>6</v>
      </c>
      <c r="F13" s="3">
        <v>6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4"/>
      <c r="AD13">
        <f t="shared" si="0"/>
        <v>36</v>
      </c>
    </row>
    <row r="14" spans="1:37" ht="15.75" thickBot="1">
      <c r="A14" s="271"/>
      <c r="B14" s="272"/>
      <c r="C14" s="282"/>
      <c r="D14" s="3"/>
      <c r="E14" s="283"/>
      <c r="F14" s="28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D14" s="137">
        <f>SUM(AD8:AD13)</f>
        <v>177</v>
      </c>
      <c r="AJ14" t="s">
        <v>26</v>
      </c>
      <c r="AK14" t="s">
        <v>77</v>
      </c>
    </row>
    <row r="15" spans="1:37" ht="12" customHeight="1" thickBo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4"/>
      <c r="AE15" s="110">
        <f>SUM(AE8:AE14)</f>
        <v>41</v>
      </c>
      <c r="AF15" s="111">
        <f>SUM(AF8:AF14)</f>
        <v>8</v>
      </c>
      <c r="AG15" s="111">
        <f>SUM(AG8:AG14)</f>
        <v>4</v>
      </c>
      <c r="AH15" s="112">
        <f>SUM(AH8:AH14)</f>
        <v>4</v>
      </c>
      <c r="AJ15" s="116">
        <f>SUM(AE15:AI15)</f>
        <v>57</v>
      </c>
      <c r="AK15" s="136">
        <f>(0.55*AE15+0.65*AF15+0.75*AG15+0.85*AH15)/AJ15</f>
        <v>0.59912280701754383</v>
      </c>
    </row>
    <row r="16" spans="1:37">
      <c r="A16" s="23" t="s">
        <v>31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4"/>
    </row>
    <row r="17" spans="1:37" ht="15.75" customHeight="1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4"/>
      <c r="AD17" s="76" t="s">
        <v>26</v>
      </c>
      <c r="AE17" s="76" t="s">
        <v>72</v>
      </c>
      <c r="AF17" s="76" t="s">
        <v>73</v>
      </c>
      <c r="AG17" s="76" t="s">
        <v>74</v>
      </c>
      <c r="AH17" s="76" t="s">
        <v>75</v>
      </c>
      <c r="AI17" s="76" t="s">
        <v>76</v>
      </c>
    </row>
    <row r="18" spans="1:37">
      <c r="A18" s="3">
        <v>1</v>
      </c>
      <c r="B18" s="138" t="s">
        <v>96</v>
      </c>
      <c r="C18" s="3">
        <v>260</v>
      </c>
      <c r="D18" s="3"/>
      <c r="E18" s="3"/>
      <c r="F18" s="3"/>
      <c r="G18" s="22">
        <v>140</v>
      </c>
      <c r="H18" s="40">
        <f>G18/C18</f>
        <v>0.53846153846153844</v>
      </c>
      <c r="I18" s="22">
        <v>4</v>
      </c>
      <c r="J18" s="22">
        <v>160</v>
      </c>
      <c r="K18" s="40">
        <f>J18/C18</f>
        <v>0.61538461538461542</v>
      </c>
      <c r="L18" s="22">
        <v>3</v>
      </c>
      <c r="M18" s="22">
        <v>180</v>
      </c>
      <c r="N18" s="40">
        <f>M18/C18</f>
        <v>0.69230769230769229</v>
      </c>
      <c r="O18" s="22">
        <v>3</v>
      </c>
      <c r="P18" s="22">
        <v>200</v>
      </c>
      <c r="Q18" s="40">
        <f>P18/C18</f>
        <v>0.76923076923076927</v>
      </c>
      <c r="R18" s="22">
        <v>3</v>
      </c>
      <c r="S18" s="22">
        <v>4</v>
      </c>
      <c r="T18" s="22">
        <v>220</v>
      </c>
      <c r="U18" s="40">
        <f>T18/C18</f>
        <v>0.84615384615384615</v>
      </c>
      <c r="V18" s="22">
        <v>2</v>
      </c>
      <c r="W18" s="22">
        <v>230</v>
      </c>
      <c r="X18" s="40">
        <f>W18/C18</f>
        <v>0.88461538461538458</v>
      </c>
      <c r="Y18" s="22">
        <v>2</v>
      </c>
      <c r="Z18" s="22">
        <v>240</v>
      </c>
      <c r="AA18" s="40">
        <f>Z18/C18</f>
        <v>0.92307692307692313</v>
      </c>
      <c r="AB18" s="24">
        <v>1</v>
      </c>
      <c r="AD18">
        <f>SUM(AE18:AI18)</f>
        <v>27</v>
      </c>
      <c r="AE18">
        <v>4</v>
      </c>
      <c r="AF18">
        <v>6</v>
      </c>
      <c r="AG18">
        <v>12</v>
      </c>
      <c r="AH18">
        <v>4</v>
      </c>
      <c r="AI18">
        <v>1</v>
      </c>
    </row>
    <row r="19" spans="1:37">
      <c r="A19" s="3">
        <v>2</v>
      </c>
      <c r="B19" s="138" t="s">
        <v>97</v>
      </c>
      <c r="C19" s="3">
        <v>208</v>
      </c>
      <c r="D19" s="3"/>
      <c r="E19" s="3"/>
      <c r="F19" s="3"/>
      <c r="G19" s="22">
        <v>130</v>
      </c>
      <c r="H19" s="40">
        <f>G19/C19</f>
        <v>0.625</v>
      </c>
      <c r="I19" s="22">
        <v>4</v>
      </c>
      <c r="J19" s="22">
        <v>150</v>
      </c>
      <c r="K19" s="40">
        <f>J19/C19</f>
        <v>0.72115384615384615</v>
      </c>
      <c r="L19" s="22">
        <v>4</v>
      </c>
      <c r="M19" s="22">
        <v>3</v>
      </c>
      <c r="N19" s="22">
        <v>155</v>
      </c>
      <c r="O19" s="40">
        <f>N19/C19</f>
        <v>0.74519230769230771</v>
      </c>
      <c r="P19" s="22">
        <v>3</v>
      </c>
      <c r="Q19" s="22">
        <v>3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4"/>
      <c r="AD19">
        <f>SUM(AE19:AI19)</f>
        <v>25</v>
      </c>
      <c r="AF19">
        <v>4</v>
      </c>
      <c r="AG19">
        <v>21</v>
      </c>
    </row>
    <row r="20" spans="1:37">
      <c r="A20" s="3">
        <v>3</v>
      </c>
      <c r="B20" s="55" t="s">
        <v>54</v>
      </c>
      <c r="C20" s="3"/>
      <c r="D20" s="3">
        <v>35</v>
      </c>
      <c r="E20" s="3">
        <v>5</v>
      </c>
      <c r="F20" s="3">
        <v>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4"/>
      <c r="AD20">
        <f>E20*F20</f>
        <v>25</v>
      </c>
    </row>
    <row r="21" spans="1:37">
      <c r="A21" s="3">
        <v>4</v>
      </c>
      <c r="B21" s="53" t="s">
        <v>103</v>
      </c>
      <c r="C21" s="3"/>
      <c r="D21" s="3"/>
      <c r="E21" s="3"/>
      <c r="F21" s="3"/>
      <c r="G21" s="22">
        <v>26</v>
      </c>
      <c r="H21" s="22">
        <v>6</v>
      </c>
      <c r="I21" s="22">
        <v>2</v>
      </c>
      <c r="J21" s="26">
        <v>30</v>
      </c>
      <c r="K21" s="26">
        <v>4</v>
      </c>
      <c r="L21" s="26">
        <v>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4"/>
      <c r="AD21">
        <v>20</v>
      </c>
    </row>
    <row r="22" spans="1:37">
      <c r="A22" s="3">
        <v>5</v>
      </c>
      <c r="B22" s="53" t="s">
        <v>81</v>
      </c>
      <c r="C22" s="3"/>
      <c r="D22" s="3">
        <v>60</v>
      </c>
      <c r="E22" s="3">
        <v>6</v>
      </c>
      <c r="F22" s="3">
        <v>3</v>
      </c>
      <c r="G22" s="22"/>
      <c r="H22" s="22"/>
      <c r="I22" s="22"/>
      <c r="J22" s="26"/>
      <c r="K22" s="26"/>
      <c r="L22" s="2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4"/>
      <c r="AD22">
        <v>18</v>
      </c>
    </row>
    <row r="23" spans="1:37" ht="15.75" thickBot="1">
      <c r="A23" s="20">
        <v>6</v>
      </c>
      <c r="B23" s="139" t="s">
        <v>104</v>
      </c>
      <c r="C23" s="3"/>
      <c r="D23" s="3">
        <v>40</v>
      </c>
      <c r="E23" s="3">
        <v>6</v>
      </c>
      <c r="F23" s="3">
        <v>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4"/>
      <c r="AD23">
        <v>12</v>
      </c>
    </row>
    <row r="24" spans="1:37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  <c r="AD24" s="140">
        <f>SUM(AD18:AD23)</f>
        <v>127</v>
      </c>
      <c r="AJ24" t="s">
        <v>26</v>
      </c>
      <c r="AK24" t="s">
        <v>77</v>
      </c>
    </row>
    <row r="25" spans="1:37" ht="15.75" thickBot="1">
      <c r="A25" s="23" t="s">
        <v>98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4"/>
      <c r="AE25" s="110">
        <f>SUM(AE17:AE24)</f>
        <v>4</v>
      </c>
      <c r="AF25" s="111">
        <f t="shared" ref="AF25:AI25" si="1">SUM(AF17:AF24)</f>
        <v>10</v>
      </c>
      <c r="AG25" s="111">
        <f t="shared" si="1"/>
        <v>33</v>
      </c>
      <c r="AH25" s="111">
        <f t="shared" si="1"/>
        <v>4</v>
      </c>
      <c r="AI25" s="112">
        <f t="shared" si="1"/>
        <v>1</v>
      </c>
      <c r="AJ25" s="116">
        <f>SUM(AE25:AI25)</f>
        <v>52</v>
      </c>
      <c r="AK25" s="143">
        <f>(0.55*AE25+0.65*AF25+0.75*AG25+0.85*AH25+0.95*AI25)/AJ25</f>
        <v>0.72692307692307701</v>
      </c>
    </row>
    <row r="26" spans="1:37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4"/>
      <c r="AD26" s="76" t="s">
        <v>26</v>
      </c>
      <c r="AE26" s="76" t="s">
        <v>72</v>
      </c>
      <c r="AF26" s="76" t="s">
        <v>73</v>
      </c>
      <c r="AG26" s="76" t="s">
        <v>74</v>
      </c>
      <c r="AH26" s="76" t="s">
        <v>75</v>
      </c>
      <c r="AI26" s="76" t="s">
        <v>76</v>
      </c>
    </row>
    <row r="27" spans="1:37">
      <c r="A27" s="4">
        <v>1</v>
      </c>
      <c r="B27" s="138" t="s">
        <v>99</v>
      </c>
      <c r="C27" s="3">
        <v>195</v>
      </c>
      <c r="D27" s="3"/>
      <c r="E27" s="3"/>
      <c r="F27" s="3"/>
      <c r="G27" s="22">
        <v>100</v>
      </c>
      <c r="H27" s="40">
        <f>G27/C27</f>
        <v>0.51282051282051277</v>
      </c>
      <c r="I27" s="22">
        <v>4</v>
      </c>
      <c r="J27" s="22">
        <v>130</v>
      </c>
      <c r="K27" s="40">
        <f>J27/C27</f>
        <v>0.66666666666666663</v>
      </c>
      <c r="L27" s="22">
        <v>4</v>
      </c>
      <c r="M27" s="22">
        <v>160</v>
      </c>
      <c r="N27" s="40">
        <f>M27/C27</f>
        <v>0.82051282051282048</v>
      </c>
      <c r="O27" s="22">
        <v>4</v>
      </c>
      <c r="P27" s="22">
        <v>3</v>
      </c>
      <c r="Q27" s="22">
        <v>170</v>
      </c>
      <c r="R27" s="40">
        <f>Q27/C27</f>
        <v>0.87179487179487181</v>
      </c>
      <c r="S27" s="22">
        <v>3</v>
      </c>
      <c r="T27" s="22">
        <v>3</v>
      </c>
      <c r="U27" s="22"/>
      <c r="V27" s="22"/>
      <c r="W27" s="22"/>
      <c r="X27" s="22"/>
      <c r="Y27" s="22"/>
      <c r="Z27" s="22"/>
      <c r="AA27" s="22"/>
      <c r="AB27" s="24"/>
      <c r="AD27">
        <f>I27+L27+O27*P27+S27*T27</f>
        <v>29</v>
      </c>
      <c r="AE27">
        <v>4</v>
      </c>
      <c r="AG27">
        <v>4</v>
      </c>
      <c r="AH27">
        <v>21</v>
      </c>
    </row>
    <row r="28" spans="1:37">
      <c r="A28" s="4">
        <v>2</v>
      </c>
      <c r="B28" s="138" t="s">
        <v>67</v>
      </c>
      <c r="C28" s="3">
        <v>286</v>
      </c>
      <c r="D28" s="3"/>
      <c r="E28" s="3"/>
      <c r="F28" s="3"/>
      <c r="G28" s="22">
        <v>180</v>
      </c>
      <c r="H28" s="40">
        <f>G28/C28</f>
        <v>0.62937062937062938</v>
      </c>
      <c r="I28" s="22">
        <v>4</v>
      </c>
      <c r="J28" s="22">
        <v>200</v>
      </c>
      <c r="K28" s="131">
        <f>J28/C28</f>
        <v>0.69930069930069927</v>
      </c>
      <c r="L28" s="22">
        <v>4</v>
      </c>
      <c r="M28" s="22">
        <v>220</v>
      </c>
      <c r="N28" s="40">
        <f>M28/C28</f>
        <v>0.76923076923076927</v>
      </c>
      <c r="O28" s="22">
        <v>4</v>
      </c>
      <c r="P28" s="22">
        <v>3</v>
      </c>
      <c r="Q28" s="22">
        <v>235</v>
      </c>
      <c r="R28" s="40">
        <f>Q28/C28</f>
        <v>0.82167832167832167</v>
      </c>
      <c r="S28" s="22">
        <v>3</v>
      </c>
      <c r="T28" s="22">
        <v>2</v>
      </c>
      <c r="U28" s="26">
        <v>250</v>
      </c>
      <c r="V28" s="40">
        <f>U28/C28</f>
        <v>0.87412587412587417</v>
      </c>
      <c r="W28" s="26">
        <v>3</v>
      </c>
      <c r="X28" s="22"/>
      <c r="Y28" s="22"/>
      <c r="Z28" s="22"/>
      <c r="AA28" s="22"/>
      <c r="AB28" s="24"/>
      <c r="AD28">
        <f>I28+L28+O28*P28+S28*T28+W28</f>
        <v>29</v>
      </c>
      <c r="AF28">
        <v>8</v>
      </c>
      <c r="AG28">
        <v>12</v>
      </c>
      <c r="AH28">
        <v>9</v>
      </c>
    </row>
    <row r="29" spans="1:37">
      <c r="A29" s="4">
        <v>3</v>
      </c>
      <c r="B29" s="55" t="s">
        <v>33</v>
      </c>
      <c r="C29" s="3"/>
      <c r="D29" s="3">
        <v>40</v>
      </c>
      <c r="E29" s="3">
        <v>6</v>
      </c>
      <c r="F29" s="3">
        <v>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4"/>
      <c r="AD29">
        <v>36</v>
      </c>
    </row>
    <row r="30" spans="1:37">
      <c r="A30" s="4">
        <v>4</v>
      </c>
      <c r="B30" s="55" t="s">
        <v>100</v>
      </c>
      <c r="C30" s="3"/>
      <c r="D30" s="3">
        <v>20</v>
      </c>
      <c r="E30" s="3">
        <v>6</v>
      </c>
      <c r="F30" s="3">
        <v>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4"/>
      <c r="AD30">
        <v>12</v>
      </c>
    </row>
    <row r="31" spans="1:37" ht="15.75" thickBot="1">
      <c r="A31" s="4">
        <v>5</v>
      </c>
      <c r="B31" s="53" t="s">
        <v>105</v>
      </c>
      <c r="C31" s="3"/>
      <c r="D31" s="3"/>
      <c r="E31" s="3"/>
      <c r="F31" s="3"/>
      <c r="G31" s="22">
        <v>22</v>
      </c>
      <c r="H31" s="22">
        <v>6</v>
      </c>
      <c r="I31" s="22">
        <v>2</v>
      </c>
      <c r="J31" s="26">
        <v>26</v>
      </c>
      <c r="K31" s="26">
        <v>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4"/>
      <c r="AD31">
        <v>15</v>
      </c>
    </row>
    <row r="32" spans="1:37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4"/>
      <c r="AD32" s="140">
        <f>SUM(AD27:AD31)</f>
        <v>121</v>
      </c>
      <c r="AJ32" t="s">
        <v>26</v>
      </c>
      <c r="AK32" t="s">
        <v>77</v>
      </c>
    </row>
    <row r="33" spans="1:37" ht="15.75" thickBot="1">
      <c r="A33" s="23" t="s">
        <v>101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4"/>
      <c r="AE33" s="110">
        <f>SUM(AE26:AE32)</f>
        <v>4</v>
      </c>
      <c r="AF33" s="111">
        <f t="shared" ref="AF33" si="2">SUM(AF26:AF32)</f>
        <v>8</v>
      </c>
      <c r="AG33" s="111">
        <f t="shared" ref="AG33" si="3">SUM(AG26:AG32)</f>
        <v>16</v>
      </c>
      <c r="AH33" s="111">
        <f t="shared" ref="AH33" si="4">SUM(AH26:AH32)</f>
        <v>30</v>
      </c>
      <c r="AI33" s="112">
        <f t="shared" ref="AI33" si="5">SUM(AI26:AI32)</f>
        <v>0</v>
      </c>
      <c r="AJ33" s="116">
        <f>SUM(AE33:AI33)</f>
        <v>58</v>
      </c>
      <c r="AK33" s="143">
        <f>(0.55*AE33+0.65*AF33+0.75*AG33+0.85*AH33+0.95*AI33)/AJ33</f>
        <v>0.7741379310344827</v>
      </c>
    </row>
    <row r="34" spans="1:37" ht="17.25" customHeigh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4"/>
      <c r="AD34" s="76" t="s">
        <v>26</v>
      </c>
      <c r="AE34" s="76" t="s">
        <v>72</v>
      </c>
      <c r="AF34" s="76" t="s">
        <v>73</v>
      </c>
      <c r="AG34" s="76" t="s">
        <v>74</v>
      </c>
      <c r="AH34" s="76" t="s">
        <v>75</v>
      </c>
      <c r="AI34" s="76" t="s">
        <v>76</v>
      </c>
    </row>
    <row r="35" spans="1:37">
      <c r="A35" s="4">
        <v>1</v>
      </c>
      <c r="B35" s="138" t="s">
        <v>56</v>
      </c>
      <c r="C35" s="3">
        <v>234</v>
      </c>
      <c r="D35" s="3"/>
      <c r="E35" s="3"/>
      <c r="F35" s="3"/>
      <c r="G35" s="22">
        <v>130</v>
      </c>
      <c r="H35" s="40">
        <f>G35/C35</f>
        <v>0.55555555555555558</v>
      </c>
      <c r="I35" s="22">
        <v>4</v>
      </c>
      <c r="J35" s="22">
        <v>160</v>
      </c>
      <c r="K35" s="40">
        <f>J35/C35</f>
        <v>0.68376068376068377</v>
      </c>
      <c r="L35" s="22">
        <v>3</v>
      </c>
      <c r="M35" s="22">
        <v>2</v>
      </c>
      <c r="N35" s="22">
        <v>175</v>
      </c>
      <c r="O35" s="40">
        <f>N35/C35</f>
        <v>0.74786324786324787</v>
      </c>
      <c r="P35" s="22">
        <v>3</v>
      </c>
      <c r="Q35" s="22">
        <v>2</v>
      </c>
      <c r="R35" s="22">
        <v>190</v>
      </c>
      <c r="S35" s="40">
        <f>R35/C35</f>
        <v>0.81196581196581197</v>
      </c>
      <c r="T35" s="22">
        <v>2</v>
      </c>
      <c r="U35" s="22">
        <v>2</v>
      </c>
      <c r="V35" s="22"/>
      <c r="W35" s="22"/>
      <c r="X35" s="22"/>
      <c r="Y35" s="22"/>
      <c r="Z35" s="22"/>
      <c r="AA35" s="22"/>
      <c r="AB35" s="24"/>
      <c r="AD35">
        <v>20</v>
      </c>
      <c r="AE35">
        <v>4</v>
      </c>
      <c r="AF35">
        <v>6</v>
      </c>
      <c r="AG35">
        <v>6</v>
      </c>
      <c r="AH35">
        <v>4</v>
      </c>
    </row>
    <row r="36" spans="1:37">
      <c r="A36" s="4">
        <v>2</v>
      </c>
      <c r="B36" s="138" t="s">
        <v>13</v>
      </c>
      <c r="C36" s="3">
        <v>260</v>
      </c>
      <c r="D36" s="3"/>
      <c r="E36" s="3"/>
      <c r="F36" s="3"/>
      <c r="G36" s="22">
        <v>210</v>
      </c>
      <c r="H36" s="40">
        <f>G36/C36</f>
        <v>0.80769230769230771</v>
      </c>
      <c r="I36" s="22">
        <v>4</v>
      </c>
      <c r="J36" s="22">
        <v>5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4"/>
      <c r="AD36">
        <v>16</v>
      </c>
      <c r="AH36">
        <v>20</v>
      </c>
    </row>
    <row r="37" spans="1:37">
      <c r="A37" s="4">
        <v>3</v>
      </c>
      <c r="B37" s="55" t="s">
        <v>71</v>
      </c>
      <c r="C37" s="3"/>
      <c r="D37" s="3">
        <v>90</v>
      </c>
      <c r="E37" s="3">
        <v>6</v>
      </c>
      <c r="F37" s="3">
        <v>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4"/>
      <c r="AD37">
        <v>36</v>
      </c>
    </row>
    <row r="38" spans="1:37">
      <c r="A38" s="4">
        <v>4</v>
      </c>
      <c r="B38" s="55" t="s">
        <v>32</v>
      </c>
      <c r="C38" s="3"/>
      <c r="D38" s="3">
        <v>80</v>
      </c>
      <c r="E38" s="3">
        <v>6</v>
      </c>
      <c r="F38" s="3">
        <v>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4"/>
      <c r="AD38">
        <v>36</v>
      </c>
    </row>
    <row r="39" spans="1:37">
      <c r="A39" s="4">
        <v>5</v>
      </c>
      <c r="B39" s="139" t="s">
        <v>36</v>
      </c>
      <c r="C39" s="3"/>
      <c r="D39" s="3">
        <v>50</v>
      </c>
      <c r="E39" s="3">
        <v>4</v>
      </c>
      <c r="F39" s="3">
        <v>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4"/>
      <c r="AD39">
        <v>16</v>
      </c>
    </row>
    <row r="40" spans="1:37" ht="15.75" thickBot="1">
      <c r="A40" s="6">
        <v>6</v>
      </c>
      <c r="B40" s="142" t="s">
        <v>102</v>
      </c>
      <c r="C40" s="7"/>
      <c r="D40" s="7">
        <v>30</v>
      </c>
      <c r="E40" s="7">
        <v>5</v>
      </c>
      <c r="F40" s="7">
        <v>4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D40">
        <v>20</v>
      </c>
    </row>
    <row r="41" spans="1:37" ht="15.75" thickBot="1">
      <c r="AD41" s="137">
        <f>SUM(AD35:AD40)</f>
        <v>144</v>
      </c>
      <c r="AJ41" t="s">
        <v>26</v>
      </c>
      <c r="AK41" t="s">
        <v>77</v>
      </c>
    </row>
    <row r="42" spans="1:37" ht="15.75" thickBot="1">
      <c r="AE42" s="110">
        <f>SUM(AE35:AE40)</f>
        <v>4</v>
      </c>
      <c r="AF42" s="111">
        <f>SUM(AF35:AF40)</f>
        <v>6</v>
      </c>
      <c r="AG42" s="111">
        <f>SUM(AG35:AG40)</f>
        <v>6</v>
      </c>
      <c r="AH42" s="111">
        <f>SUM(AH35:AH40)</f>
        <v>24</v>
      </c>
      <c r="AI42" s="112"/>
      <c r="AJ42" s="116">
        <f>SUM(AE42:AI42)</f>
        <v>40</v>
      </c>
      <c r="AK42" s="136">
        <f>(0.55*AE42+0.65*AF42+0.75*AG42+0.85*AH42)/AJ42</f>
        <v>0.77500000000000002</v>
      </c>
    </row>
    <row r="43" spans="1:37" ht="15.75" thickBot="1"/>
    <row r="44" spans="1:37" ht="15.75" thickBot="1">
      <c r="AE44" s="110">
        <f>AE15+AE25+AE33+AE42</f>
        <v>53</v>
      </c>
      <c r="AF44" s="111">
        <f t="shared" ref="AF44:AI44" si="6">AF15+AF25+AF33+AF42</f>
        <v>32</v>
      </c>
      <c r="AG44" s="111">
        <f>AG15+AG25+AG33+AG42</f>
        <v>59</v>
      </c>
      <c r="AH44" s="111">
        <f>AH15+AH25+AH33+AH42</f>
        <v>62</v>
      </c>
      <c r="AI44" s="112">
        <f t="shared" si="6"/>
        <v>1</v>
      </c>
      <c r="AJ44" s="144">
        <f>SUM(AE44:AI44)</f>
        <v>207</v>
      </c>
      <c r="AK44" s="141">
        <f>(0.55*AE44+0.65*AF44+0.75*AG44+0.85*AH44+0.95*AI44)/AJ44</f>
        <v>0.7142512077294686</v>
      </c>
    </row>
    <row r="45" spans="1:37" ht="15.75" thickBot="1">
      <c r="AD45" s="140">
        <f>AD41+AD32+AD24+AD14</f>
        <v>569</v>
      </c>
    </row>
  </sheetData>
  <mergeCells count="2">
    <mergeCell ref="A14:C14"/>
    <mergeCell ref="E14:F14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6"/>
  <sheetViews>
    <sheetView zoomScale="85" zoomScaleNormal="85" workbookViewId="0">
      <selection activeCell="K15" sqref="K15"/>
    </sheetView>
  </sheetViews>
  <sheetFormatPr defaultRowHeight="15"/>
  <cols>
    <col min="1" max="1" width="3.7109375" customWidth="1"/>
    <col min="2" max="2" width="22" customWidth="1"/>
    <col min="3" max="3" width="5" customWidth="1"/>
    <col min="4" max="6" width="4.7109375" customWidth="1"/>
    <col min="7" max="7" width="4.140625" bestFit="1" customWidth="1"/>
    <col min="8" max="8" width="4.7109375" customWidth="1"/>
    <col min="9" max="9" width="4" bestFit="1" customWidth="1"/>
    <col min="10" max="10" width="4.140625" bestFit="1" customWidth="1"/>
    <col min="11" max="11" width="6.140625" bestFit="1" customWidth="1"/>
    <col min="12" max="12" width="4.85546875" bestFit="1" customWidth="1"/>
    <col min="13" max="13" width="4.140625" bestFit="1" customWidth="1"/>
    <col min="14" max="15" width="4.7109375" customWidth="1"/>
    <col min="16" max="16" width="4.140625" bestFit="1" customWidth="1"/>
    <col min="17" max="17" width="4.7109375" customWidth="1"/>
    <col min="18" max="18" width="4.28515625" customWidth="1"/>
    <col min="19" max="19" width="4.7109375" bestFit="1" customWidth="1"/>
    <col min="20" max="23" width="4.42578125" customWidth="1"/>
    <col min="24" max="24" width="4.7109375" bestFit="1" customWidth="1"/>
    <col min="25" max="25" width="2.140625" bestFit="1" customWidth="1"/>
    <col min="26" max="26" width="4.42578125" customWidth="1"/>
    <col min="27" max="27" width="4.7109375" bestFit="1" customWidth="1"/>
    <col min="28" max="28" width="2.140625" bestFit="1" customWidth="1"/>
    <col min="30" max="34" width="5.7109375" customWidth="1"/>
    <col min="35" max="35" width="6.42578125" customWidth="1"/>
  </cols>
  <sheetData>
    <row r="1" spans="1:37" ht="15.75" thickBot="1">
      <c r="C1" s="18"/>
      <c r="D1" s="18"/>
      <c r="E1" s="18"/>
      <c r="F1" s="18"/>
      <c r="K1" s="113">
        <v>28</v>
      </c>
      <c r="L1" s="114">
        <v>35</v>
      </c>
      <c r="M1" s="114">
        <v>22</v>
      </c>
      <c r="N1" s="115">
        <v>15</v>
      </c>
    </row>
    <row r="2" spans="1:37" ht="15.75" thickBot="1">
      <c r="A2" t="s">
        <v>61</v>
      </c>
      <c r="C2" s="18"/>
      <c r="D2" s="18"/>
      <c r="E2" s="18"/>
      <c r="F2" s="18"/>
      <c r="K2" s="57">
        <v>467</v>
      </c>
      <c r="L2" s="145">
        <v>584</v>
      </c>
      <c r="M2" s="134">
        <v>368</v>
      </c>
      <c r="N2" s="29">
        <v>251</v>
      </c>
      <c r="O2" t="s">
        <v>94</v>
      </c>
    </row>
    <row r="3" spans="1:37" ht="15.75" thickBot="1">
      <c r="B3" t="s">
        <v>106</v>
      </c>
      <c r="I3" t="s">
        <v>24</v>
      </c>
      <c r="J3">
        <v>260</v>
      </c>
      <c r="K3" s="113">
        <v>175</v>
      </c>
      <c r="L3" s="146">
        <v>219</v>
      </c>
      <c r="M3" s="135">
        <v>138</v>
      </c>
      <c r="N3" s="115">
        <v>94</v>
      </c>
      <c r="O3" t="s">
        <v>95</v>
      </c>
    </row>
    <row r="5" spans="1:37" ht="15.75" thickBot="1"/>
    <row r="6" spans="1:37">
      <c r="A6" s="6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0"/>
    </row>
    <row r="7" spans="1:3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4"/>
      <c r="AD7" s="76" t="s">
        <v>26</v>
      </c>
      <c r="AE7" s="76" t="s">
        <v>72</v>
      </c>
      <c r="AF7" s="76" t="s">
        <v>73</v>
      </c>
      <c r="AG7" s="76" t="s">
        <v>74</v>
      </c>
      <c r="AH7" s="76" t="s">
        <v>75</v>
      </c>
      <c r="AI7" s="76" t="s">
        <v>76</v>
      </c>
    </row>
    <row r="8" spans="1:37">
      <c r="A8" s="4">
        <v>1</v>
      </c>
      <c r="B8" s="138" t="s">
        <v>17</v>
      </c>
      <c r="C8" s="3">
        <v>230</v>
      </c>
      <c r="D8" s="3"/>
      <c r="E8" s="3"/>
      <c r="F8" s="3"/>
      <c r="G8" s="22">
        <v>130</v>
      </c>
      <c r="H8" s="40">
        <f>G8/C8</f>
        <v>0.56521739130434778</v>
      </c>
      <c r="I8" s="22">
        <v>5</v>
      </c>
      <c r="J8" s="22">
        <v>150</v>
      </c>
      <c r="K8" s="40">
        <f>J8/C8</f>
        <v>0.65217391304347827</v>
      </c>
      <c r="L8" s="22">
        <v>4</v>
      </c>
      <c r="M8" s="22">
        <v>170</v>
      </c>
      <c r="N8" s="40">
        <f>M8/C8</f>
        <v>0.73913043478260865</v>
      </c>
      <c r="O8" s="22">
        <v>4</v>
      </c>
      <c r="P8" s="22">
        <v>180</v>
      </c>
      <c r="Q8" s="40">
        <f>P8/C8</f>
        <v>0.78260869565217395</v>
      </c>
      <c r="R8" s="22">
        <v>3</v>
      </c>
      <c r="S8" s="26">
        <v>190</v>
      </c>
      <c r="T8" s="40">
        <f>S8/C8</f>
        <v>0.82608695652173914</v>
      </c>
      <c r="U8" s="26">
        <v>2</v>
      </c>
      <c r="V8" s="22"/>
      <c r="W8" s="22"/>
      <c r="X8" s="22"/>
      <c r="Y8" s="22"/>
      <c r="Z8" s="22"/>
      <c r="AA8" s="22"/>
      <c r="AB8" s="24"/>
      <c r="AD8">
        <f>SUM(AE8:AI8)</f>
        <v>18</v>
      </c>
      <c r="AE8">
        <v>5</v>
      </c>
      <c r="AF8">
        <v>4</v>
      </c>
      <c r="AG8">
        <v>7</v>
      </c>
      <c r="AH8">
        <v>2</v>
      </c>
    </row>
    <row r="9" spans="1:37">
      <c r="A9" s="4">
        <v>2</v>
      </c>
      <c r="B9" s="138" t="s">
        <v>13</v>
      </c>
      <c r="C9" s="3"/>
      <c r="D9" s="3"/>
      <c r="E9" s="3"/>
      <c r="F9" s="3"/>
      <c r="G9" s="22">
        <v>140</v>
      </c>
      <c r="H9" s="40">
        <f>G9/J3</f>
        <v>0.53846153846153844</v>
      </c>
      <c r="I9" s="22">
        <v>5</v>
      </c>
      <c r="J9" s="22">
        <v>3</v>
      </c>
      <c r="K9" s="26">
        <v>160</v>
      </c>
      <c r="L9" s="40">
        <f>K9/J3</f>
        <v>0.61538461538461542</v>
      </c>
      <c r="M9" s="26">
        <v>4</v>
      </c>
      <c r="N9" s="26">
        <v>3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4"/>
      <c r="AD9">
        <f>SUM(AE9:AI9)</f>
        <v>27</v>
      </c>
      <c r="AE9">
        <v>15</v>
      </c>
      <c r="AF9">
        <v>12</v>
      </c>
    </row>
    <row r="10" spans="1:37">
      <c r="A10" s="4">
        <v>3</v>
      </c>
      <c r="B10" s="55" t="s">
        <v>71</v>
      </c>
      <c r="C10" s="3"/>
      <c r="D10" s="3">
        <v>70</v>
      </c>
      <c r="E10" s="3">
        <v>6</v>
      </c>
      <c r="F10" s="3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4"/>
      <c r="AD10">
        <f>E10*F10</f>
        <v>36</v>
      </c>
    </row>
    <row r="11" spans="1:37">
      <c r="A11" s="4">
        <v>4</v>
      </c>
      <c r="B11" s="55" t="s">
        <v>32</v>
      </c>
      <c r="C11" s="3"/>
      <c r="D11" s="3">
        <v>60</v>
      </c>
      <c r="E11" s="3">
        <v>6</v>
      </c>
      <c r="F11" s="3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4"/>
      <c r="AD11">
        <f t="shared" ref="AD11:AD13" si="0">E11*F11</f>
        <v>36</v>
      </c>
    </row>
    <row r="12" spans="1:37">
      <c r="A12" s="4">
        <v>5</v>
      </c>
      <c r="B12" s="139" t="s">
        <v>36</v>
      </c>
      <c r="C12" s="3"/>
      <c r="D12" s="3">
        <v>65</v>
      </c>
      <c r="E12" s="3">
        <v>6</v>
      </c>
      <c r="F12" s="3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D12">
        <f t="shared" si="0"/>
        <v>6</v>
      </c>
    </row>
    <row r="13" spans="1:37" ht="15.75" thickBot="1">
      <c r="A13" s="176">
        <v>6</v>
      </c>
      <c r="B13" s="177" t="s">
        <v>69</v>
      </c>
      <c r="C13" s="177"/>
      <c r="D13" s="177">
        <v>40</v>
      </c>
      <c r="E13" s="177">
        <v>6</v>
      </c>
      <c r="F13" s="177">
        <v>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4"/>
      <c r="AD13">
        <f t="shared" si="0"/>
        <v>18</v>
      </c>
    </row>
    <row r="14" spans="1:37" ht="15.75" thickBot="1">
      <c r="A14" s="271"/>
      <c r="B14" s="272"/>
      <c r="C14" s="282"/>
      <c r="D14" s="3"/>
      <c r="E14" s="283"/>
      <c r="F14" s="28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D14" s="137">
        <f>SUM(AD8:AD13)</f>
        <v>141</v>
      </c>
      <c r="AJ14" t="s">
        <v>26</v>
      </c>
      <c r="AK14" t="s">
        <v>77</v>
      </c>
    </row>
    <row r="15" spans="1:37" ht="12" customHeight="1" thickBo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4"/>
      <c r="AE15" s="110">
        <f>SUM(AE8:AE14)</f>
        <v>20</v>
      </c>
      <c r="AF15" s="111">
        <f>SUM(AF8:AF14)</f>
        <v>16</v>
      </c>
      <c r="AG15" s="111">
        <f>SUM(AG8:AG14)</f>
        <v>7</v>
      </c>
      <c r="AH15" s="112">
        <f>SUM(AH8:AH14)</f>
        <v>2</v>
      </c>
      <c r="AJ15" s="116">
        <f>SUM(AE15:AI15)</f>
        <v>45</v>
      </c>
      <c r="AK15" s="147">
        <f>(0.55*AE15+0.65*AF15+0.75*AG15+0.85*AH15)/AJ15</f>
        <v>0.63</v>
      </c>
    </row>
    <row r="16" spans="1:37">
      <c r="A16" s="23" t="s">
        <v>63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4"/>
    </row>
    <row r="17" spans="1:37" ht="15.75" customHeight="1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4"/>
      <c r="AD17" s="76" t="s">
        <v>26</v>
      </c>
      <c r="AE17" s="76" t="s">
        <v>72</v>
      </c>
      <c r="AF17" s="76" t="s">
        <v>73</v>
      </c>
      <c r="AG17" s="76" t="s">
        <v>74</v>
      </c>
      <c r="AH17" s="76" t="s">
        <v>75</v>
      </c>
      <c r="AI17" s="76" t="s">
        <v>76</v>
      </c>
    </row>
    <row r="18" spans="1:37">
      <c r="A18" s="4">
        <v>1</v>
      </c>
      <c r="B18" s="138" t="s">
        <v>96</v>
      </c>
      <c r="C18" s="3">
        <v>260</v>
      </c>
      <c r="D18" s="3"/>
      <c r="E18" s="3"/>
      <c r="F18" s="3"/>
      <c r="G18" s="22">
        <v>130</v>
      </c>
      <c r="H18" s="40">
        <f>G18/C18</f>
        <v>0.5</v>
      </c>
      <c r="I18" s="22">
        <v>3</v>
      </c>
      <c r="J18" s="22">
        <v>160</v>
      </c>
      <c r="K18" s="40">
        <f>J18/C18</f>
        <v>0.61538461538461542</v>
      </c>
      <c r="L18" s="26">
        <v>3</v>
      </c>
      <c r="M18" s="26">
        <v>180</v>
      </c>
      <c r="N18" s="40">
        <f>M18/C18</f>
        <v>0.69230769230769229</v>
      </c>
      <c r="O18" s="26">
        <v>3</v>
      </c>
      <c r="P18" s="26">
        <v>200</v>
      </c>
      <c r="Q18" s="40">
        <f>P18/C18</f>
        <v>0.76923076923076927</v>
      </c>
      <c r="R18" s="26">
        <v>3</v>
      </c>
      <c r="S18" s="26">
        <v>2</v>
      </c>
      <c r="T18" s="26">
        <v>210</v>
      </c>
      <c r="U18" s="40">
        <f>T18/C18</f>
        <v>0.80769230769230771</v>
      </c>
      <c r="V18" s="26">
        <v>1</v>
      </c>
      <c r="W18" s="22">
        <v>230</v>
      </c>
      <c r="X18" s="40">
        <f>W18/C18</f>
        <v>0.88461538461538458</v>
      </c>
      <c r="Y18" s="26">
        <v>1</v>
      </c>
      <c r="Z18" s="26">
        <v>245</v>
      </c>
      <c r="AA18" s="40">
        <f>Z18/C18</f>
        <v>0.94230769230769229</v>
      </c>
      <c r="AB18" s="127">
        <v>1</v>
      </c>
      <c r="AD18">
        <f>SUM(AE18:AI18)</f>
        <v>18</v>
      </c>
      <c r="AE18">
        <v>3</v>
      </c>
      <c r="AF18">
        <v>6</v>
      </c>
      <c r="AG18">
        <v>6</v>
      </c>
      <c r="AH18">
        <v>2</v>
      </c>
      <c r="AI18">
        <v>1</v>
      </c>
    </row>
    <row r="19" spans="1:37">
      <c r="A19" s="4">
        <v>2</v>
      </c>
      <c r="B19" s="138" t="s">
        <v>97</v>
      </c>
      <c r="C19" s="3">
        <v>208</v>
      </c>
      <c r="D19" s="3"/>
      <c r="E19" s="3"/>
      <c r="F19" s="3"/>
      <c r="G19" s="22">
        <v>120</v>
      </c>
      <c r="H19" s="40">
        <f>G19/C19</f>
        <v>0.57692307692307687</v>
      </c>
      <c r="I19" s="22">
        <v>3</v>
      </c>
      <c r="J19" s="22">
        <v>140</v>
      </c>
      <c r="K19" s="40">
        <f>J19/C19</f>
        <v>0.67307692307692313</v>
      </c>
      <c r="L19" s="26">
        <v>3</v>
      </c>
      <c r="M19" s="26">
        <v>3</v>
      </c>
      <c r="N19" s="22"/>
      <c r="O19" s="4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4"/>
      <c r="AD19">
        <f>SUM(AE19:AI19)</f>
        <v>12</v>
      </c>
      <c r="AE19">
        <v>3</v>
      </c>
      <c r="AF19">
        <v>9</v>
      </c>
    </row>
    <row r="20" spans="1:37">
      <c r="A20" s="4">
        <v>3</v>
      </c>
      <c r="B20" s="55" t="s">
        <v>54</v>
      </c>
      <c r="C20" s="3"/>
      <c r="D20" s="3">
        <v>26</v>
      </c>
      <c r="E20" s="3">
        <v>5</v>
      </c>
      <c r="F20" s="3">
        <v>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4"/>
      <c r="AD20">
        <f>E20*F20</f>
        <v>25</v>
      </c>
    </row>
    <row r="21" spans="1:37">
      <c r="A21" s="4">
        <v>4</v>
      </c>
      <c r="B21" s="53" t="s">
        <v>103</v>
      </c>
      <c r="C21" s="3"/>
      <c r="D21" s="3">
        <v>20</v>
      </c>
      <c r="E21" s="3">
        <v>5</v>
      </c>
      <c r="F21" s="3">
        <v>5</v>
      </c>
      <c r="G21" s="22"/>
      <c r="H21" s="22"/>
      <c r="I21" s="22"/>
      <c r="J21" s="26"/>
      <c r="K21" s="26"/>
      <c r="L21" s="2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4"/>
      <c r="AD21">
        <f>E21*F21</f>
        <v>25</v>
      </c>
    </row>
    <row r="22" spans="1:37">
      <c r="A22" s="4">
        <v>5</v>
      </c>
      <c r="B22" s="53" t="s">
        <v>81</v>
      </c>
      <c r="C22" s="3"/>
      <c r="D22" s="3">
        <v>80</v>
      </c>
      <c r="E22" s="3">
        <v>5</v>
      </c>
      <c r="F22" s="3">
        <v>5</v>
      </c>
      <c r="G22" s="22"/>
      <c r="H22" s="22"/>
      <c r="I22" s="22"/>
      <c r="J22" s="26"/>
      <c r="K22" s="26"/>
      <c r="L22" s="2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4"/>
      <c r="AD22">
        <f>E22*F22</f>
        <v>25</v>
      </c>
    </row>
    <row r="23" spans="1:37" ht="15.75" thickBot="1">
      <c r="A23" s="19">
        <v>6</v>
      </c>
      <c r="B23" s="139" t="s">
        <v>104</v>
      </c>
      <c r="C23" s="3"/>
      <c r="D23" s="3">
        <v>20</v>
      </c>
      <c r="E23" s="3">
        <v>6</v>
      </c>
      <c r="F23" s="3">
        <v>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4"/>
      <c r="AD23">
        <f>E23*F23</f>
        <v>12</v>
      </c>
    </row>
    <row r="24" spans="1:37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  <c r="AD24" s="140">
        <f>SUM(AD18:AD23)</f>
        <v>117</v>
      </c>
      <c r="AJ24" t="s">
        <v>26</v>
      </c>
      <c r="AK24" t="s">
        <v>77</v>
      </c>
    </row>
    <row r="25" spans="1:37" ht="15.75" thickBot="1">
      <c r="A25" s="23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4"/>
      <c r="AE25" s="110">
        <f>SUM(AE17:AE24)</f>
        <v>6</v>
      </c>
      <c r="AF25" s="111">
        <f t="shared" ref="AF25:AH25" si="1">SUM(AF17:AF24)</f>
        <v>15</v>
      </c>
      <c r="AG25" s="111">
        <f t="shared" si="1"/>
        <v>6</v>
      </c>
      <c r="AH25" s="111">
        <f t="shared" si="1"/>
        <v>2</v>
      </c>
      <c r="AI25" s="112">
        <v>1</v>
      </c>
      <c r="AJ25" s="116">
        <f>SUM(AE25:AI25)</f>
        <v>30</v>
      </c>
      <c r="AK25" s="143">
        <f>(0.55*AE25+0.65*AF25+0.75*AG25+0.85*AH25+0.95*AI25)/AJ25</f>
        <v>0.67333333333333334</v>
      </c>
    </row>
    <row r="26" spans="1:37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4"/>
      <c r="AD26" s="76" t="s">
        <v>26</v>
      </c>
      <c r="AE26" s="76" t="s">
        <v>72</v>
      </c>
      <c r="AF26" s="76" t="s">
        <v>73</v>
      </c>
      <c r="AG26" s="76" t="s">
        <v>74</v>
      </c>
      <c r="AH26" s="76" t="s">
        <v>75</v>
      </c>
      <c r="AI26" s="76" t="s">
        <v>76</v>
      </c>
    </row>
    <row r="27" spans="1:37">
      <c r="A27" s="4">
        <v>1</v>
      </c>
      <c r="B27" s="138" t="s">
        <v>99</v>
      </c>
      <c r="C27" s="3">
        <v>195</v>
      </c>
      <c r="D27" s="3"/>
      <c r="E27" s="3"/>
      <c r="F27" s="3"/>
      <c r="G27" s="22">
        <v>120</v>
      </c>
      <c r="H27" s="40">
        <f>G27/C27</f>
        <v>0.61538461538461542</v>
      </c>
      <c r="I27" s="22">
        <v>4</v>
      </c>
      <c r="J27" s="22">
        <v>150</v>
      </c>
      <c r="K27" s="40">
        <f>J27/C27</f>
        <v>0.76923076923076927</v>
      </c>
      <c r="L27" s="26">
        <v>3</v>
      </c>
      <c r="M27" s="26">
        <v>160</v>
      </c>
      <c r="N27" s="40">
        <f>M27/C27</f>
        <v>0.82051282051282048</v>
      </c>
      <c r="O27" s="26">
        <v>3</v>
      </c>
      <c r="P27" s="26">
        <v>3</v>
      </c>
      <c r="Q27" s="22"/>
      <c r="R27" s="40"/>
      <c r="S27" s="22"/>
      <c r="T27" s="22"/>
      <c r="U27" s="22"/>
      <c r="V27" s="22"/>
      <c r="W27" s="22"/>
      <c r="X27" s="22"/>
      <c r="Y27" s="22"/>
      <c r="Z27" s="22"/>
      <c r="AA27" s="22"/>
      <c r="AB27" s="24"/>
      <c r="AD27">
        <f>SUM(AE27:AI27)</f>
        <v>16</v>
      </c>
      <c r="AF27">
        <v>4</v>
      </c>
      <c r="AG27">
        <v>3</v>
      </c>
      <c r="AH27">
        <v>9</v>
      </c>
    </row>
    <row r="28" spans="1:37">
      <c r="A28" s="4">
        <v>2</v>
      </c>
      <c r="B28" s="138" t="s">
        <v>67</v>
      </c>
      <c r="C28" s="3">
        <v>286</v>
      </c>
      <c r="D28" s="3"/>
      <c r="E28" s="3"/>
      <c r="F28" s="3"/>
      <c r="G28" s="22">
        <v>180</v>
      </c>
      <c r="H28" s="40">
        <f>G28/C28</f>
        <v>0.62937062937062938</v>
      </c>
      <c r="I28" s="22">
        <v>4</v>
      </c>
      <c r="J28" s="22">
        <v>210</v>
      </c>
      <c r="K28" s="131">
        <f>J28/C28</f>
        <v>0.73426573426573427</v>
      </c>
      <c r="L28" s="26">
        <v>3</v>
      </c>
      <c r="M28" s="26">
        <v>3</v>
      </c>
      <c r="N28" s="148">
        <v>240</v>
      </c>
      <c r="O28" s="105">
        <f>N28/C28</f>
        <v>0.83916083916083917</v>
      </c>
      <c r="P28" s="22">
        <v>3</v>
      </c>
      <c r="Q28" s="26">
        <v>260</v>
      </c>
      <c r="R28" s="40">
        <f>Q28/C28</f>
        <v>0.90909090909090906</v>
      </c>
      <c r="S28" s="22">
        <v>3</v>
      </c>
      <c r="T28" s="26">
        <v>280</v>
      </c>
      <c r="U28" s="105">
        <f>T28/C28</f>
        <v>0.97902097902097907</v>
      </c>
      <c r="V28" s="150">
        <v>1</v>
      </c>
      <c r="W28" s="26"/>
      <c r="X28" s="22"/>
      <c r="Y28" s="22"/>
      <c r="Z28" s="22"/>
      <c r="AA28" s="22"/>
      <c r="AB28" s="24"/>
      <c r="AD28">
        <f>SUM(AE28:AI28)</f>
        <v>19</v>
      </c>
      <c r="AF28">
        <v>4</v>
      </c>
      <c r="AG28">
        <v>9</v>
      </c>
      <c r="AH28">
        <v>3</v>
      </c>
      <c r="AI28">
        <v>3</v>
      </c>
    </row>
    <row r="29" spans="1:37">
      <c r="A29" s="4">
        <v>3</v>
      </c>
      <c r="B29" s="55" t="s">
        <v>33</v>
      </c>
      <c r="C29" s="3"/>
      <c r="D29" s="3">
        <v>45</v>
      </c>
      <c r="E29" s="3">
        <v>6</v>
      </c>
      <c r="F29" s="3">
        <v>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4"/>
      <c r="AD29">
        <f>E29*F29</f>
        <v>36</v>
      </c>
    </row>
    <row r="30" spans="1:37">
      <c r="A30" s="4">
        <v>4</v>
      </c>
      <c r="B30" s="55" t="s">
        <v>100</v>
      </c>
      <c r="C30" s="3"/>
      <c r="D30" s="3">
        <v>14</v>
      </c>
      <c r="E30" s="3">
        <v>6</v>
      </c>
      <c r="F30" s="3">
        <v>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4"/>
      <c r="AD30">
        <f>E30*F30</f>
        <v>24</v>
      </c>
    </row>
    <row r="31" spans="1:37" ht="15.75" thickBot="1">
      <c r="A31" s="176">
        <v>5</v>
      </c>
      <c r="B31" s="177" t="s">
        <v>102</v>
      </c>
      <c r="C31" s="177"/>
      <c r="D31" s="177">
        <v>35</v>
      </c>
      <c r="E31" s="177">
        <v>4</v>
      </c>
      <c r="F31" s="177">
        <v>3</v>
      </c>
      <c r="G31" s="22"/>
      <c r="H31" s="22"/>
      <c r="I31" s="22"/>
      <c r="J31" s="26"/>
      <c r="K31" s="26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4"/>
      <c r="AD31">
        <f>E31*F31</f>
        <v>12</v>
      </c>
    </row>
    <row r="32" spans="1:37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4"/>
      <c r="AD32" s="140">
        <f>SUM(AD27:AD31)</f>
        <v>107</v>
      </c>
      <c r="AJ32" t="s">
        <v>26</v>
      </c>
      <c r="AK32" t="s">
        <v>77</v>
      </c>
    </row>
    <row r="33" spans="1:37" ht="15.75" thickBot="1">
      <c r="A33" s="5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  <c r="AE33" s="110">
        <f>SUM(AE26:AE32)</f>
        <v>0</v>
      </c>
      <c r="AF33" s="111">
        <f t="shared" ref="AF33:AI33" si="2">SUM(AF26:AF32)</f>
        <v>8</v>
      </c>
      <c r="AG33" s="111">
        <f t="shared" si="2"/>
        <v>12</v>
      </c>
      <c r="AH33" s="111">
        <f t="shared" si="2"/>
        <v>12</v>
      </c>
      <c r="AI33" s="112">
        <f t="shared" si="2"/>
        <v>3</v>
      </c>
      <c r="AJ33" s="116">
        <f>SUM(AE33:AI33)</f>
        <v>35</v>
      </c>
      <c r="AK33" s="143">
        <f>(0.55*AE33+0.65*AF33+0.75*AG33+0.85*AH33+0.95*AI33)/AJ33</f>
        <v>0.77857142857142858</v>
      </c>
    </row>
    <row r="34" spans="1:37" ht="15.75" thickBo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E34" s="26"/>
      <c r="AF34" s="26"/>
      <c r="AG34" s="26"/>
      <c r="AH34" s="26"/>
      <c r="AI34" s="26"/>
      <c r="AJ34" s="26"/>
      <c r="AK34" s="105"/>
    </row>
    <row r="35" spans="1:37" ht="15.75" thickBot="1">
      <c r="AE35" s="110">
        <f>AE33+AE25+AE15</f>
        <v>26</v>
      </c>
      <c r="AF35" s="111">
        <f t="shared" ref="AF35:AI35" si="3">AF33+AF25+AF15</f>
        <v>39</v>
      </c>
      <c r="AG35" s="111">
        <f t="shared" si="3"/>
        <v>25</v>
      </c>
      <c r="AH35" s="111">
        <f t="shared" si="3"/>
        <v>16</v>
      </c>
      <c r="AI35" s="112">
        <f t="shared" si="3"/>
        <v>4</v>
      </c>
      <c r="AJ35" s="144">
        <f>AJ33+AJ25+AJ15</f>
        <v>110</v>
      </c>
      <c r="AK35" s="141">
        <f>(0.55*AE35+0.65*AF35+0.75*AG35+0.85*AH35+0.95*AI35)/AJ35</f>
        <v>0.68909090909090909</v>
      </c>
    </row>
    <row r="36" spans="1:37" ht="15.75" thickBot="1">
      <c r="AD36" s="140">
        <f>AD32+AD24+AD14</f>
        <v>365</v>
      </c>
    </row>
  </sheetData>
  <mergeCells count="2">
    <mergeCell ref="A14:C14"/>
    <mergeCell ref="E14:F1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8"/>
  <sheetViews>
    <sheetView workbookViewId="0">
      <selection activeCell="B14" sqref="B14"/>
    </sheetView>
  </sheetViews>
  <sheetFormatPr defaultRowHeight="15"/>
  <cols>
    <col min="1" max="1" width="3.7109375" customWidth="1"/>
    <col min="2" max="2" width="22" customWidth="1"/>
    <col min="3" max="3" width="5" customWidth="1"/>
    <col min="4" max="6" width="4.7109375" customWidth="1"/>
    <col min="7" max="7" width="4.140625" bestFit="1" customWidth="1"/>
    <col min="8" max="8" width="5.42578125" customWidth="1"/>
    <col min="9" max="9" width="4" bestFit="1" customWidth="1"/>
    <col min="10" max="10" width="6.140625" customWidth="1"/>
    <col min="11" max="11" width="6.140625" bestFit="1" customWidth="1"/>
    <col min="12" max="12" width="4.85546875" bestFit="1" customWidth="1"/>
    <col min="13" max="13" width="4.140625" bestFit="1" customWidth="1"/>
    <col min="14" max="15" width="4.7109375" customWidth="1"/>
    <col min="16" max="16" width="4.140625" bestFit="1" customWidth="1"/>
    <col min="17" max="17" width="4.7109375" customWidth="1"/>
    <col min="18" max="18" width="4.28515625" customWidth="1"/>
    <col min="19" max="19" width="4.7109375" bestFit="1" customWidth="1"/>
    <col min="20" max="23" width="4.42578125" customWidth="1"/>
    <col min="24" max="24" width="4.7109375" bestFit="1" customWidth="1"/>
    <col min="25" max="25" width="2.140625" bestFit="1" customWidth="1"/>
    <col min="26" max="26" width="4.42578125" customWidth="1"/>
    <col min="27" max="27" width="4.7109375" bestFit="1" customWidth="1"/>
    <col min="28" max="28" width="2.140625" bestFit="1" customWidth="1"/>
    <col min="30" max="34" width="5.7109375" customWidth="1"/>
    <col min="35" max="35" width="6.42578125" customWidth="1"/>
  </cols>
  <sheetData>
    <row r="1" spans="1:37" ht="15.75" thickBot="1">
      <c r="C1" s="18"/>
      <c r="D1" s="18"/>
      <c r="E1" s="18"/>
      <c r="F1" s="18"/>
      <c r="K1" s="113">
        <v>28</v>
      </c>
      <c r="L1" s="114">
        <v>35</v>
      </c>
      <c r="M1" s="114">
        <v>22</v>
      </c>
      <c r="N1" s="115">
        <v>15</v>
      </c>
    </row>
    <row r="2" spans="1:37" ht="15.75" thickBot="1">
      <c r="A2" t="s">
        <v>61</v>
      </c>
      <c r="C2" s="18"/>
      <c r="D2" s="18"/>
      <c r="E2" s="18"/>
      <c r="F2" s="18"/>
      <c r="K2" s="57">
        <v>467</v>
      </c>
      <c r="L2" s="145">
        <v>584</v>
      </c>
      <c r="M2" s="145">
        <v>368</v>
      </c>
      <c r="N2" s="151">
        <v>251</v>
      </c>
      <c r="O2" t="s">
        <v>94</v>
      </c>
    </row>
    <row r="3" spans="1:37" ht="15.75" thickBot="1">
      <c r="B3" t="s">
        <v>107</v>
      </c>
      <c r="I3" t="s">
        <v>24</v>
      </c>
      <c r="J3">
        <v>280</v>
      </c>
      <c r="K3" s="113">
        <v>175</v>
      </c>
      <c r="L3" s="146">
        <v>219</v>
      </c>
      <c r="M3" s="146">
        <v>138</v>
      </c>
      <c r="N3" s="152">
        <v>94</v>
      </c>
      <c r="O3" t="s">
        <v>95</v>
      </c>
    </row>
    <row r="5" spans="1:37" ht="15.75" thickBot="1"/>
    <row r="6" spans="1:37">
      <c r="A6" s="6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0"/>
    </row>
    <row r="7" spans="1:3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4"/>
      <c r="AD7" s="76" t="s">
        <v>26</v>
      </c>
      <c r="AE7" s="76" t="s">
        <v>72</v>
      </c>
      <c r="AF7" s="76" t="s">
        <v>73</v>
      </c>
      <c r="AG7" s="76" t="s">
        <v>74</v>
      </c>
      <c r="AH7" s="76" t="s">
        <v>75</v>
      </c>
      <c r="AI7" s="76" t="s">
        <v>76</v>
      </c>
    </row>
    <row r="8" spans="1:37">
      <c r="A8" s="4">
        <v>1</v>
      </c>
      <c r="B8" s="138" t="s">
        <v>17</v>
      </c>
      <c r="C8" s="3">
        <v>230</v>
      </c>
      <c r="D8" s="3"/>
      <c r="E8" s="3"/>
      <c r="F8" s="3"/>
      <c r="G8" s="22">
        <v>130</v>
      </c>
      <c r="H8" s="40">
        <f>G8/C8</f>
        <v>0.56521739130434778</v>
      </c>
      <c r="I8" s="22">
        <v>4</v>
      </c>
      <c r="J8" s="22">
        <v>160</v>
      </c>
      <c r="K8" s="153">
        <f>J8/C8</f>
        <v>0.69565217391304346</v>
      </c>
      <c r="L8" s="22">
        <v>4</v>
      </c>
      <c r="M8" s="22">
        <v>180</v>
      </c>
      <c r="N8" s="40">
        <f>M8/C8</f>
        <v>0.78260869565217395</v>
      </c>
      <c r="O8" s="22">
        <v>3</v>
      </c>
      <c r="P8" s="22">
        <v>200</v>
      </c>
      <c r="Q8" s="40">
        <f>P8/C8</f>
        <v>0.86956521739130432</v>
      </c>
      <c r="R8" s="22">
        <v>3</v>
      </c>
      <c r="S8" s="26">
        <v>3</v>
      </c>
      <c r="T8" s="40"/>
      <c r="U8" s="26"/>
      <c r="V8" s="22"/>
      <c r="W8" s="22"/>
      <c r="X8" s="22"/>
      <c r="Y8" s="22"/>
      <c r="Z8" s="22"/>
      <c r="AA8" s="22"/>
      <c r="AB8" s="24"/>
      <c r="AD8">
        <f>SUM(AE8:AI8)</f>
        <v>20</v>
      </c>
      <c r="AE8">
        <v>4</v>
      </c>
      <c r="AF8">
        <v>4</v>
      </c>
      <c r="AG8">
        <v>3</v>
      </c>
      <c r="AH8">
        <v>9</v>
      </c>
    </row>
    <row r="9" spans="1:37">
      <c r="A9" s="4">
        <v>2</v>
      </c>
      <c r="B9" s="138" t="s">
        <v>13</v>
      </c>
      <c r="C9" s="3"/>
      <c r="D9" s="3"/>
      <c r="E9" s="3"/>
      <c r="F9" s="3"/>
      <c r="G9" s="22">
        <v>140</v>
      </c>
      <c r="H9" s="153">
        <f>G9/J3</f>
        <v>0.5</v>
      </c>
      <c r="I9" s="22">
        <v>4</v>
      </c>
      <c r="J9" s="22">
        <v>2</v>
      </c>
      <c r="K9" s="26">
        <v>170</v>
      </c>
      <c r="L9" s="40">
        <f>K9/J3</f>
        <v>0.6071428571428571</v>
      </c>
      <c r="M9" s="26">
        <v>4</v>
      </c>
      <c r="N9" s="26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4"/>
      <c r="AD9">
        <f>SUM(AE9:AI9)</f>
        <v>28</v>
      </c>
      <c r="AE9">
        <v>8</v>
      </c>
      <c r="AF9">
        <v>20</v>
      </c>
    </row>
    <row r="10" spans="1:37">
      <c r="A10" s="4">
        <v>3</v>
      </c>
      <c r="B10" s="55" t="s">
        <v>71</v>
      </c>
      <c r="C10" s="3"/>
      <c r="D10" s="3">
        <v>80</v>
      </c>
      <c r="E10" s="3">
        <v>6</v>
      </c>
      <c r="F10" s="3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4"/>
      <c r="AD10">
        <f>E10*F10</f>
        <v>36</v>
      </c>
    </row>
    <row r="11" spans="1:37">
      <c r="A11" s="4">
        <v>4</v>
      </c>
      <c r="B11" s="55" t="s">
        <v>32</v>
      </c>
      <c r="C11" s="3"/>
      <c r="D11" s="3">
        <v>50</v>
      </c>
      <c r="E11" s="3">
        <v>6</v>
      </c>
      <c r="F11" s="3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4"/>
      <c r="AD11">
        <f t="shared" ref="AD11:AD14" si="0">E11*F11</f>
        <v>36</v>
      </c>
    </row>
    <row r="12" spans="1:37">
      <c r="A12" s="174">
        <v>5</v>
      </c>
      <c r="B12" s="175" t="s">
        <v>102</v>
      </c>
      <c r="C12" s="175"/>
      <c r="D12" s="175">
        <v>40</v>
      </c>
      <c r="E12" s="175">
        <v>4</v>
      </c>
      <c r="F12" s="175">
        <v>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D12">
        <f t="shared" si="0"/>
        <v>8</v>
      </c>
    </row>
    <row r="13" spans="1:37">
      <c r="A13" s="174">
        <v>6</v>
      </c>
      <c r="B13" s="175" t="s">
        <v>105</v>
      </c>
      <c r="C13" s="175"/>
      <c r="D13" s="175">
        <v>22</v>
      </c>
      <c r="E13" s="175">
        <v>4</v>
      </c>
      <c r="F13" s="175">
        <v>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4"/>
    </row>
    <row r="14" spans="1:37" ht="15.75" thickBot="1">
      <c r="A14" s="4">
        <v>7</v>
      </c>
      <c r="B14" s="139" t="s">
        <v>81</v>
      </c>
      <c r="C14" s="3"/>
      <c r="D14" s="3">
        <v>50</v>
      </c>
      <c r="E14" s="3">
        <v>6</v>
      </c>
      <c r="F14" s="3">
        <v>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D14">
        <f t="shared" si="0"/>
        <v>24</v>
      </c>
    </row>
    <row r="15" spans="1:37" ht="15.75" thickBot="1">
      <c r="A15" s="271"/>
      <c r="B15" s="272"/>
      <c r="C15" s="282"/>
      <c r="D15" s="3"/>
      <c r="E15" s="283"/>
      <c r="F15" s="28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4"/>
      <c r="AD15" s="137">
        <f>SUM(AD8:AD14)</f>
        <v>152</v>
      </c>
      <c r="AJ15" t="s">
        <v>26</v>
      </c>
      <c r="AK15" t="s">
        <v>77</v>
      </c>
    </row>
    <row r="16" spans="1:37" ht="12" customHeight="1" thickBot="1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4"/>
      <c r="AE16" s="110">
        <f>SUM(AE8:AE15)</f>
        <v>12</v>
      </c>
      <c r="AF16" s="111">
        <f>SUM(AF8:AF15)</f>
        <v>24</v>
      </c>
      <c r="AG16" s="111">
        <f>SUM(AG8:AG15)</f>
        <v>3</v>
      </c>
      <c r="AH16" s="112">
        <f>SUM(AH8:AH15)</f>
        <v>9</v>
      </c>
      <c r="AJ16" s="116">
        <f>SUM(AE16:AI16)</f>
        <v>48</v>
      </c>
      <c r="AK16" s="147">
        <f>(0.55*AE16+0.65*AF16+0.75*AG16+0.85*AH16)/AJ16</f>
        <v>0.66875000000000007</v>
      </c>
    </row>
    <row r="17" spans="1:37">
      <c r="A17" s="23" t="s">
        <v>98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4"/>
      <c r="AE17" s="26"/>
      <c r="AF17" s="26"/>
      <c r="AG17" s="26"/>
      <c r="AH17" s="26"/>
      <c r="AI17" s="26"/>
      <c r="AJ17" s="26"/>
      <c r="AK17" s="105"/>
    </row>
    <row r="18" spans="1:37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4"/>
      <c r="AD18" s="76" t="s">
        <v>26</v>
      </c>
      <c r="AE18" s="76" t="s">
        <v>72</v>
      </c>
      <c r="AF18" s="76" t="s">
        <v>73</v>
      </c>
      <c r="AG18" s="76" t="s">
        <v>74</v>
      </c>
      <c r="AH18" s="76" t="s">
        <v>75</v>
      </c>
      <c r="AI18" s="76" t="s">
        <v>76</v>
      </c>
    </row>
    <row r="19" spans="1:37">
      <c r="A19" s="4">
        <v>1</v>
      </c>
      <c r="B19" s="138" t="s">
        <v>99</v>
      </c>
      <c r="C19" s="3">
        <f>J3*0.75</f>
        <v>210</v>
      </c>
      <c r="D19" s="3"/>
      <c r="E19" s="3"/>
      <c r="F19" s="3"/>
      <c r="G19" s="22">
        <v>110</v>
      </c>
      <c r="H19" s="40">
        <f>G19/C19</f>
        <v>0.52380952380952384</v>
      </c>
      <c r="I19" s="22">
        <v>4</v>
      </c>
      <c r="J19" s="22">
        <v>130</v>
      </c>
      <c r="K19" s="40">
        <f>J19/C19</f>
        <v>0.61904761904761907</v>
      </c>
      <c r="L19" s="26">
        <v>4</v>
      </c>
      <c r="M19" s="26">
        <v>150</v>
      </c>
      <c r="N19" s="40">
        <f>M19/C19</f>
        <v>0.7142857142857143</v>
      </c>
      <c r="O19" s="26">
        <v>3</v>
      </c>
      <c r="P19" s="26">
        <v>4</v>
      </c>
      <c r="Q19" s="22"/>
      <c r="R19" s="40"/>
      <c r="S19" s="22"/>
      <c r="T19" s="22"/>
      <c r="U19" s="22"/>
      <c r="V19" s="22"/>
      <c r="W19" s="22"/>
      <c r="X19" s="22"/>
      <c r="Y19" s="22"/>
      <c r="Z19" s="22"/>
      <c r="AA19" s="22"/>
      <c r="AB19" s="24"/>
      <c r="AD19">
        <f>SUM(AE19:AI19)</f>
        <v>20</v>
      </c>
      <c r="AE19">
        <v>4</v>
      </c>
      <c r="AF19">
        <v>4</v>
      </c>
      <c r="AG19">
        <v>12</v>
      </c>
    </row>
    <row r="20" spans="1:37">
      <c r="A20" s="4">
        <v>2</v>
      </c>
      <c r="B20" s="138" t="s">
        <v>13</v>
      </c>
      <c r="C20" s="3">
        <f>J3</f>
        <v>280</v>
      </c>
      <c r="D20" s="3"/>
      <c r="E20" s="3"/>
      <c r="F20" s="3"/>
      <c r="G20" s="22">
        <v>180</v>
      </c>
      <c r="H20" s="40">
        <f>G20/C20</f>
        <v>0.6428571428571429</v>
      </c>
      <c r="I20" s="22">
        <v>4</v>
      </c>
      <c r="J20" s="22">
        <v>200</v>
      </c>
      <c r="K20" s="131">
        <f>J20/C20</f>
        <v>0.7142857142857143</v>
      </c>
      <c r="L20" s="26">
        <v>4</v>
      </c>
      <c r="M20" s="26">
        <v>4</v>
      </c>
      <c r="N20" s="148">
        <v>220</v>
      </c>
      <c r="O20" s="105">
        <f>N20/C20</f>
        <v>0.7857142857142857</v>
      </c>
      <c r="P20" s="22">
        <v>3</v>
      </c>
      <c r="Q20" s="26">
        <v>240</v>
      </c>
      <c r="R20" s="40">
        <f>Q20/C20</f>
        <v>0.8571428571428571</v>
      </c>
      <c r="S20" s="22">
        <v>3</v>
      </c>
      <c r="T20" s="26"/>
      <c r="U20" s="105"/>
      <c r="V20" s="150"/>
      <c r="W20" s="26"/>
      <c r="X20" s="22"/>
      <c r="Y20" s="22"/>
      <c r="Z20" s="22"/>
      <c r="AA20" s="22"/>
      <c r="AB20" s="24"/>
      <c r="AD20">
        <f>SUM(AE20:AI20)</f>
        <v>26</v>
      </c>
      <c r="AF20">
        <v>4</v>
      </c>
      <c r="AG20">
        <v>19</v>
      </c>
      <c r="AH20">
        <v>3</v>
      </c>
    </row>
    <row r="21" spans="1:37">
      <c r="A21" s="4">
        <v>3</v>
      </c>
      <c r="B21" s="55" t="s">
        <v>33</v>
      </c>
      <c r="C21" s="3"/>
      <c r="D21" s="3">
        <v>50</v>
      </c>
      <c r="E21" s="3">
        <v>5</v>
      </c>
      <c r="F21" s="3">
        <v>4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4"/>
      <c r="AD21">
        <f>E21*F21</f>
        <v>20</v>
      </c>
    </row>
    <row r="22" spans="1:37">
      <c r="A22" s="4">
        <v>4</v>
      </c>
      <c r="B22" s="55" t="s">
        <v>100</v>
      </c>
      <c r="C22" s="3"/>
      <c r="D22" s="3">
        <v>16</v>
      </c>
      <c r="E22" s="3">
        <v>5</v>
      </c>
      <c r="F22" s="3">
        <v>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4"/>
      <c r="AD22">
        <f>E22*F22</f>
        <v>20</v>
      </c>
    </row>
    <row r="23" spans="1:37" ht="15.75" thickBot="1">
      <c r="A23" s="178">
        <v>5</v>
      </c>
      <c r="B23" s="52" t="s">
        <v>36</v>
      </c>
      <c r="C23" s="52"/>
      <c r="D23" s="52">
        <v>70</v>
      </c>
      <c r="E23" s="52">
        <v>6</v>
      </c>
      <c r="F23" s="52">
        <v>1</v>
      </c>
      <c r="G23" s="22"/>
      <c r="H23" s="22"/>
      <c r="I23" s="22"/>
      <c r="J23" s="26"/>
      <c r="K23" s="26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4"/>
      <c r="AD23">
        <f>E23*F23</f>
        <v>6</v>
      </c>
    </row>
    <row r="24" spans="1:37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  <c r="AD24" s="140">
        <f>SUM(AD19:AD23)</f>
        <v>92</v>
      </c>
      <c r="AJ24" t="s">
        <v>26</v>
      </c>
      <c r="AK24" t="s">
        <v>77</v>
      </c>
    </row>
    <row r="25" spans="1:37" ht="15.75" thickBot="1">
      <c r="A25" s="5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E25" s="110">
        <f>SUM(AE18:AE24)</f>
        <v>4</v>
      </c>
      <c r="AF25" s="111">
        <f t="shared" ref="AF25:AI25" si="1">SUM(AF18:AF24)</f>
        <v>8</v>
      </c>
      <c r="AG25" s="111">
        <f t="shared" si="1"/>
        <v>31</v>
      </c>
      <c r="AH25" s="111">
        <f t="shared" si="1"/>
        <v>3</v>
      </c>
      <c r="AI25" s="112">
        <f t="shared" si="1"/>
        <v>0</v>
      </c>
      <c r="AJ25" s="116">
        <f>SUM(AE25:AI25)</f>
        <v>46</v>
      </c>
      <c r="AK25" s="143">
        <f>(0.55*AE25+0.65*AF25+0.75*AG25+0.85*AH25+0.95*AI25)/AJ25</f>
        <v>0.72173913043478255</v>
      </c>
    </row>
    <row r="26" spans="1:37" ht="15.75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E26" s="26"/>
      <c r="AF26" s="26"/>
      <c r="AG26" s="26"/>
      <c r="AH26" s="26"/>
      <c r="AI26" s="26"/>
      <c r="AJ26" s="26"/>
      <c r="AK26" s="105"/>
    </row>
    <row r="27" spans="1:37" ht="15.75" thickBot="1">
      <c r="AE27" s="110">
        <f t="shared" ref="AE27:AJ27" si="2">AE25+AE17+AE16</f>
        <v>16</v>
      </c>
      <c r="AF27" s="111">
        <f t="shared" si="2"/>
        <v>32</v>
      </c>
      <c r="AG27" s="111">
        <f t="shared" si="2"/>
        <v>34</v>
      </c>
      <c r="AH27" s="111">
        <f t="shared" si="2"/>
        <v>12</v>
      </c>
      <c r="AI27" s="112">
        <f t="shared" si="2"/>
        <v>0</v>
      </c>
      <c r="AJ27" s="144">
        <f t="shared" si="2"/>
        <v>94</v>
      </c>
      <c r="AK27" s="141">
        <f>(0.55*AE27+0.65*AF27+0.75*AG27+0.85*AH27+0.95*AI27)/AJ27</f>
        <v>0.69468085106382971</v>
      </c>
    </row>
    <row r="28" spans="1:37" ht="15.75" thickBot="1">
      <c r="AD28" s="140">
        <f>AD24+AD15</f>
        <v>244</v>
      </c>
    </row>
  </sheetData>
  <mergeCells count="2">
    <mergeCell ref="A15:C15"/>
    <mergeCell ref="E15:F1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zoomScaleNormal="100" workbookViewId="0">
      <selection activeCell="N3" sqref="N3"/>
    </sheetView>
  </sheetViews>
  <sheetFormatPr defaultRowHeight="15"/>
  <cols>
    <col min="1" max="1" width="3.140625" customWidth="1"/>
    <col min="2" max="2" width="28.42578125" customWidth="1"/>
    <col min="3" max="3" width="7.140625" style="18" customWidth="1"/>
    <col min="4" max="8" width="4.7109375" customWidth="1"/>
    <col min="9" max="9" width="3.85546875" customWidth="1"/>
    <col min="10" max="12" width="4.7109375" customWidth="1"/>
    <col min="13" max="13" width="7.28515625" customWidth="1"/>
    <col min="14" max="14" width="5.85546875" customWidth="1"/>
    <col min="15" max="15" width="5" customWidth="1"/>
    <col min="16" max="16" width="4.7109375" customWidth="1"/>
    <col min="17" max="17" width="6.140625" customWidth="1"/>
    <col min="18" max="18" width="5.7109375" customWidth="1"/>
    <col min="19" max="19" width="4.85546875" customWidth="1"/>
    <col min="20" max="20" width="7.140625" customWidth="1"/>
    <col min="21" max="21" width="4.7109375" customWidth="1"/>
    <col min="22" max="22" width="4.28515625" customWidth="1"/>
    <col min="23" max="23" width="4.7109375" customWidth="1"/>
    <col min="24" max="24" width="4.42578125" customWidth="1"/>
    <col min="25" max="25" width="2.5703125" customWidth="1"/>
    <col min="26" max="27" width="4.7109375" customWidth="1"/>
    <col min="28" max="28" width="7.140625" customWidth="1"/>
    <col min="29" max="31" width="5.7109375" bestFit="1" customWidth="1"/>
    <col min="32" max="32" width="6.7109375" bestFit="1" customWidth="1"/>
    <col min="36" max="36" width="11.85546875" customWidth="1"/>
  </cols>
  <sheetData>
    <row r="1" spans="1:34" ht="15.75" thickBot="1">
      <c r="H1" s="154">
        <v>28</v>
      </c>
      <c r="I1" s="114">
        <v>15</v>
      </c>
      <c r="J1" s="114">
        <v>35</v>
      </c>
      <c r="K1" s="115">
        <v>22</v>
      </c>
      <c r="L1" t="s">
        <v>30</v>
      </c>
    </row>
    <row r="2" spans="1:34" ht="15.75" thickBot="1">
      <c r="A2" t="s">
        <v>108</v>
      </c>
      <c r="H2" s="155">
        <v>500</v>
      </c>
      <c r="I2" s="28">
        <f>I1*$O$2</f>
        <v>267.85500000000002</v>
      </c>
      <c r="J2" s="28">
        <f t="shared" ref="J2:K2" si="0">J1*$O$2</f>
        <v>624.995</v>
      </c>
      <c r="K2" s="29">
        <f t="shared" si="0"/>
        <v>392.85399999999998</v>
      </c>
      <c r="L2" t="s">
        <v>94</v>
      </c>
      <c r="O2">
        <v>17.856999999999999</v>
      </c>
    </row>
    <row r="3" spans="1:34" ht="15.75" thickBot="1">
      <c r="B3" t="s">
        <v>92</v>
      </c>
      <c r="F3" t="s">
        <v>24</v>
      </c>
      <c r="G3">
        <v>280</v>
      </c>
      <c r="H3" s="154">
        <v>190</v>
      </c>
      <c r="I3" s="28">
        <f>I1*$O$3</f>
        <v>101.78571428571428</v>
      </c>
      <c r="J3" s="28">
        <f t="shared" ref="J3:K3" si="1">J1*$O$3</f>
        <v>237.5</v>
      </c>
      <c r="K3" s="29">
        <f t="shared" si="1"/>
        <v>149.28571428571428</v>
      </c>
      <c r="L3" t="s">
        <v>95</v>
      </c>
      <c r="O3">
        <f>H3/H1</f>
        <v>6.7857142857142856</v>
      </c>
    </row>
    <row r="4" spans="1:34" ht="15.75" thickBot="1">
      <c r="A4" s="157" t="s">
        <v>62</v>
      </c>
      <c r="B4" s="158"/>
      <c r="C4" s="120"/>
      <c r="D4" s="124"/>
      <c r="E4" s="125"/>
      <c r="F4" s="159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76"/>
      <c r="AA4" s="76" t="s">
        <v>26</v>
      </c>
      <c r="AB4" s="76" t="s">
        <v>72</v>
      </c>
      <c r="AC4" s="76" t="s">
        <v>73</v>
      </c>
      <c r="AD4" s="76" t="s">
        <v>74</v>
      </c>
      <c r="AE4" s="76" t="s">
        <v>75</v>
      </c>
      <c r="AF4" s="76" t="s">
        <v>76</v>
      </c>
    </row>
    <row r="5" spans="1:34">
      <c r="A5" s="100"/>
      <c r="B5" s="160" t="s">
        <v>64</v>
      </c>
      <c r="C5" s="161">
        <v>280</v>
      </c>
      <c r="D5" s="100"/>
      <c r="E5" s="101"/>
      <c r="F5" s="102"/>
      <c r="G5" s="27">
        <v>140</v>
      </c>
      <c r="H5" s="162">
        <f>G5/C5</f>
        <v>0.5</v>
      </c>
      <c r="I5" s="163">
        <v>3</v>
      </c>
      <c r="J5" s="163">
        <v>160</v>
      </c>
      <c r="K5" s="162">
        <f>J5/C5</f>
        <v>0.5714285714285714</v>
      </c>
      <c r="L5" s="163">
        <v>3</v>
      </c>
      <c r="M5" s="163">
        <v>180</v>
      </c>
      <c r="N5" s="162">
        <f>M5/C5</f>
        <v>0.6428571428571429</v>
      </c>
      <c r="O5" s="163">
        <v>3</v>
      </c>
      <c r="P5" s="163">
        <v>195</v>
      </c>
      <c r="Q5" s="164">
        <f>P5/C5</f>
        <v>0.6964285714285714</v>
      </c>
      <c r="R5" s="165">
        <v>3</v>
      </c>
      <c r="S5" s="165">
        <v>3</v>
      </c>
      <c r="T5" s="165">
        <v>205</v>
      </c>
      <c r="U5" s="162">
        <f>T5/C5</f>
        <v>0.7321428571428571</v>
      </c>
      <c r="V5" s="166">
        <v>1</v>
      </c>
      <c r="W5" s="166">
        <v>215</v>
      </c>
      <c r="X5" s="162">
        <f>W5/C5</f>
        <v>0.7678571428571429</v>
      </c>
      <c r="Y5" s="167">
        <v>1</v>
      </c>
      <c r="AA5">
        <f>SUM(AB5:AF5)</f>
        <v>20</v>
      </c>
      <c r="AB5">
        <v>6</v>
      </c>
      <c r="AC5">
        <v>12</v>
      </c>
      <c r="AD5">
        <v>2</v>
      </c>
    </row>
    <row r="6" spans="1:34">
      <c r="A6" s="4"/>
      <c r="B6" s="104" t="s">
        <v>65</v>
      </c>
      <c r="C6" s="107">
        <f>G3*0.8</f>
        <v>224</v>
      </c>
      <c r="D6" s="4"/>
      <c r="E6" s="3"/>
      <c r="F6" s="5"/>
      <c r="G6" s="22">
        <v>120</v>
      </c>
      <c r="H6" s="40">
        <f>G6/C6</f>
        <v>0.5357142857142857</v>
      </c>
      <c r="I6" s="26">
        <v>5</v>
      </c>
      <c r="J6" s="26">
        <v>140</v>
      </c>
      <c r="K6" s="105">
        <f>J6/C6</f>
        <v>0.625</v>
      </c>
      <c r="L6" s="26">
        <v>4</v>
      </c>
      <c r="M6" s="26">
        <v>152.5</v>
      </c>
      <c r="N6" s="105">
        <f>M6/C6</f>
        <v>0.6808035714285714</v>
      </c>
      <c r="O6" s="128">
        <v>4</v>
      </c>
      <c r="P6" s="128">
        <v>4</v>
      </c>
      <c r="Q6" s="128">
        <v>160</v>
      </c>
      <c r="R6" s="105">
        <f>Q6/C6</f>
        <v>0.7142857142857143</v>
      </c>
      <c r="S6" s="128">
        <v>2</v>
      </c>
      <c r="T6" s="128">
        <v>2</v>
      </c>
      <c r="U6" s="26"/>
      <c r="V6" s="26"/>
      <c r="W6" s="26"/>
      <c r="X6" s="26"/>
      <c r="Y6" s="127"/>
      <c r="AA6">
        <f>SUM(AB6:AF7)</f>
        <v>29</v>
      </c>
      <c r="AB6">
        <v>5</v>
      </c>
      <c r="AC6">
        <v>20</v>
      </c>
      <c r="AD6">
        <v>4</v>
      </c>
    </row>
    <row r="7" spans="1:34">
      <c r="A7" s="4"/>
      <c r="B7" s="103" t="s">
        <v>66</v>
      </c>
      <c r="C7" s="107"/>
      <c r="D7" s="4">
        <v>40</v>
      </c>
      <c r="E7" s="3">
        <v>4</v>
      </c>
      <c r="F7" s="5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AA7">
        <f>E7*F7</f>
        <v>16</v>
      </c>
    </row>
    <row r="8" spans="1:34">
      <c r="A8" s="4"/>
      <c r="B8" s="103" t="s">
        <v>32</v>
      </c>
      <c r="C8" s="107"/>
      <c r="D8" s="4">
        <v>60</v>
      </c>
      <c r="E8" s="3">
        <v>6</v>
      </c>
      <c r="F8" s="5">
        <v>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AA8">
        <f>E8*F8</f>
        <v>36</v>
      </c>
    </row>
    <row r="9" spans="1:34">
      <c r="A9" s="4"/>
      <c r="B9" s="108" t="s">
        <v>109</v>
      </c>
      <c r="C9" s="107"/>
      <c r="D9" s="4">
        <v>30</v>
      </c>
      <c r="E9" s="3">
        <v>6</v>
      </c>
      <c r="F9" s="5">
        <v>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  <c r="AA9">
        <f>E9*F9</f>
        <v>36</v>
      </c>
    </row>
    <row r="10" spans="1:34">
      <c r="A10" s="4"/>
      <c r="B10" s="108" t="s">
        <v>110</v>
      </c>
      <c r="C10" s="107"/>
      <c r="D10" s="4">
        <v>26</v>
      </c>
      <c r="E10" s="3">
        <v>5</v>
      </c>
      <c r="F10" s="5">
        <v>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AA10">
        <f>E10*F10</f>
        <v>20</v>
      </c>
    </row>
    <row r="11" spans="1:34">
      <c r="A11" s="4"/>
      <c r="B11" s="108" t="s">
        <v>81</v>
      </c>
      <c r="C11" s="107"/>
      <c r="D11" s="4">
        <v>80</v>
      </c>
      <c r="E11" s="3">
        <v>5</v>
      </c>
      <c r="F11" s="5">
        <v>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AA11">
        <f>E11*F11</f>
        <v>25</v>
      </c>
    </row>
    <row r="12" spans="1:34" ht="15.75" thickBot="1">
      <c r="A12" s="4"/>
      <c r="B12" s="16"/>
      <c r="C12" s="107"/>
      <c r="D12" s="4"/>
      <c r="E12" s="3"/>
      <c r="F12" s="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AA12">
        <f>SUM(AA5:AA11)</f>
        <v>182</v>
      </c>
      <c r="AG12" t="s">
        <v>26</v>
      </c>
      <c r="AH12" t="s">
        <v>77</v>
      </c>
    </row>
    <row r="13" spans="1:34" ht="15.75" thickBot="1">
      <c r="A13" s="4"/>
      <c r="B13" s="16"/>
      <c r="C13" s="107"/>
      <c r="D13" s="4"/>
      <c r="E13" s="3"/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4"/>
      <c r="AB13" s="110">
        <f>AB6+AB5</f>
        <v>11</v>
      </c>
      <c r="AC13" s="111">
        <f>AC6+AC5</f>
        <v>32</v>
      </c>
      <c r="AD13" s="112">
        <f>AD6+AD5</f>
        <v>6</v>
      </c>
      <c r="AG13" s="116">
        <f>SUM(AB13:AF13)</f>
        <v>49</v>
      </c>
      <c r="AH13" s="130">
        <f>(0.55*AB13+0.65*AC13+0.75*AD13)/AG13</f>
        <v>0.63979591836734695</v>
      </c>
    </row>
    <row r="14" spans="1:34">
      <c r="A14" s="4" t="s">
        <v>63</v>
      </c>
      <c r="B14" s="16"/>
      <c r="C14" s="107"/>
      <c r="D14" s="4"/>
      <c r="E14" s="3"/>
      <c r="F14" s="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4"/>
    </row>
    <row r="15" spans="1:34">
      <c r="A15" s="4"/>
      <c r="B15" s="104" t="s">
        <v>68</v>
      </c>
      <c r="C15" s="107">
        <f>G3*0.8</f>
        <v>224</v>
      </c>
      <c r="D15" s="4"/>
      <c r="E15" s="3"/>
      <c r="F15" s="5"/>
      <c r="G15" s="22">
        <v>125</v>
      </c>
      <c r="H15" s="40">
        <f>G15/C15</f>
        <v>0.5580357142857143</v>
      </c>
      <c r="I15" s="26">
        <v>4</v>
      </c>
      <c r="J15" s="26">
        <v>140</v>
      </c>
      <c r="K15" s="40">
        <f>J15/C15</f>
        <v>0.625</v>
      </c>
      <c r="L15" s="26">
        <v>3</v>
      </c>
      <c r="M15" s="156">
        <v>160</v>
      </c>
      <c r="N15" s="40">
        <f>M15/C15</f>
        <v>0.7142857142857143</v>
      </c>
      <c r="O15" s="26">
        <v>3</v>
      </c>
      <c r="P15" s="26">
        <v>5</v>
      </c>
      <c r="Q15" s="26"/>
      <c r="R15" s="40"/>
      <c r="S15" s="26"/>
      <c r="T15" s="26"/>
      <c r="U15" s="26"/>
      <c r="V15" s="26"/>
      <c r="W15" s="26"/>
      <c r="X15" s="26"/>
      <c r="Y15" s="24"/>
      <c r="AA15">
        <f>SUM(AB15:AF15)</f>
        <v>22</v>
      </c>
      <c r="AB15">
        <v>4</v>
      </c>
      <c r="AC15">
        <v>3</v>
      </c>
      <c r="AD15">
        <v>15</v>
      </c>
    </row>
    <row r="16" spans="1:34">
      <c r="A16" s="4"/>
      <c r="B16" s="104" t="s">
        <v>67</v>
      </c>
      <c r="C16" s="107">
        <f>G3*1.1</f>
        <v>308</v>
      </c>
      <c r="D16" s="4"/>
      <c r="E16" s="3"/>
      <c r="F16" s="5"/>
      <c r="G16" s="22">
        <v>180</v>
      </c>
      <c r="H16" s="40">
        <f>G16/C16</f>
        <v>0.58441558441558439</v>
      </c>
      <c r="I16" s="26">
        <v>4</v>
      </c>
      <c r="J16" s="26">
        <v>210</v>
      </c>
      <c r="K16" s="40">
        <f>J16/C16</f>
        <v>0.68181818181818177</v>
      </c>
      <c r="L16" s="26">
        <v>4</v>
      </c>
      <c r="M16" s="26">
        <v>230</v>
      </c>
      <c r="N16" s="40">
        <f>M16/C16</f>
        <v>0.74675324675324672</v>
      </c>
      <c r="O16" s="26">
        <v>3</v>
      </c>
      <c r="P16" s="26">
        <v>5</v>
      </c>
      <c r="Q16" s="26">
        <v>250</v>
      </c>
      <c r="R16" s="40">
        <f>Q16/C16</f>
        <v>0.81168831168831168</v>
      </c>
      <c r="S16" s="26">
        <v>2</v>
      </c>
      <c r="T16" s="26">
        <v>265</v>
      </c>
      <c r="U16" s="105">
        <f>T16/C16</f>
        <v>0.86038961038961037</v>
      </c>
      <c r="V16" s="26">
        <v>2</v>
      </c>
      <c r="W16" s="26">
        <v>270</v>
      </c>
      <c r="X16" s="105">
        <f>W16/C16</f>
        <v>0.87662337662337664</v>
      </c>
      <c r="Y16" s="24">
        <v>1</v>
      </c>
      <c r="AA16">
        <f>SUM(AB16:AE16)</f>
        <v>28</v>
      </c>
      <c r="AB16">
        <v>4</v>
      </c>
      <c r="AC16">
        <v>4</v>
      </c>
      <c r="AD16">
        <v>15</v>
      </c>
      <c r="AE16">
        <v>5</v>
      </c>
      <c r="AF16">
        <v>1</v>
      </c>
    </row>
    <row r="17" spans="1:34">
      <c r="A17" s="4"/>
      <c r="B17" s="104" t="s">
        <v>13</v>
      </c>
      <c r="C17" s="107"/>
      <c r="D17" s="4"/>
      <c r="E17" s="3"/>
      <c r="F17" s="5"/>
      <c r="G17" s="26">
        <v>185</v>
      </c>
      <c r="H17" s="40">
        <f>G17/G3</f>
        <v>0.6607142857142857</v>
      </c>
      <c r="I17" s="26">
        <v>5</v>
      </c>
      <c r="J17" s="26">
        <v>5</v>
      </c>
      <c r="K17" s="22"/>
      <c r="L17" s="26"/>
      <c r="M17" s="22"/>
      <c r="N17" s="22"/>
      <c r="O17" s="22"/>
      <c r="P17" s="22"/>
      <c r="Q17" s="26"/>
      <c r="R17" s="22"/>
      <c r="S17" s="26"/>
      <c r="T17" s="26"/>
      <c r="U17" s="26"/>
      <c r="V17" s="26"/>
      <c r="W17" s="26">
        <v>280</v>
      </c>
      <c r="X17" s="105">
        <f>W17/C16</f>
        <v>0.90909090909090906</v>
      </c>
      <c r="Y17" s="127">
        <v>1</v>
      </c>
      <c r="AA17">
        <v>25</v>
      </c>
      <c r="AC17">
        <v>25</v>
      </c>
    </row>
    <row r="18" spans="1:34">
      <c r="A18" s="4"/>
      <c r="B18" s="103" t="s">
        <v>71</v>
      </c>
      <c r="C18" s="107"/>
      <c r="D18" s="4">
        <v>70</v>
      </c>
      <c r="E18" s="3">
        <v>6</v>
      </c>
      <c r="F18" s="5">
        <v>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AA18">
        <f>E18*F18</f>
        <v>36</v>
      </c>
    </row>
    <row r="19" spans="1:34">
      <c r="A19" s="4"/>
      <c r="B19" s="108" t="s">
        <v>111</v>
      </c>
      <c r="C19" s="107"/>
      <c r="D19" s="19">
        <v>30</v>
      </c>
      <c r="E19" s="20">
        <v>5</v>
      </c>
      <c r="F19" s="21">
        <v>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AA19">
        <f t="shared" ref="AA19:AA20" si="2">E19*F19</f>
        <v>25</v>
      </c>
    </row>
    <row r="20" spans="1:34">
      <c r="A20" s="4"/>
      <c r="B20" s="108" t="s">
        <v>82</v>
      </c>
      <c r="C20" s="107"/>
      <c r="D20" s="19">
        <v>40</v>
      </c>
      <c r="E20" s="20">
        <v>5</v>
      </c>
      <c r="F20" s="21">
        <v>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  <c r="AA20">
        <f t="shared" si="2"/>
        <v>25</v>
      </c>
    </row>
    <row r="21" spans="1:34" ht="15.75" thickBot="1">
      <c r="A21" s="4"/>
      <c r="B21" s="16"/>
      <c r="C21" s="107"/>
      <c r="D21" s="4"/>
      <c r="E21" s="3"/>
      <c r="F21" s="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  <c r="AA21">
        <f>SUM(AA15:AA20)</f>
        <v>161</v>
      </c>
    </row>
    <row r="22" spans="1:34" ht="15.75" thickBot="1">
      <c r="A22" s="4"/>
      <c r="B22" s="16"/>
      <c r="C22" s="107"/>
      <c r="D22" s="4"/>
      <c r="E22" s="3"/>
      <c r="F22" s="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/>
      <c r="AB22" s="110">
        <f>SUM(AB15:AB21)</f>
        <v>8</v>
      </c>
      <c r="AC22" s="111">
        <f t="shared" ref="AC22:AE22" si="3">SUM(AC15:AC21)</f>
        <v>32</v>
      </c>
      <c r="AD22" s="111">
        <f t="shared" si="3"/>
        <v>30</v>
      </c>
      <c r="AE22" s="111">
        <f t="shared" si="3"/>
        <v>5</v>
      </c>
      <c r="AF22" s="112">
        <v>1</v>
      </c>
      <c r="AG22" s="117">
        <f>SUM(AB22:AF22)</f>
        <v>76</v>
      </c>
      <c r="AH22" s="130">
        <f>(0.55*AB22+0.65*AC22+0.75*AD22+0.85*AE22+0.95*AF22)/AG22</f>
        <v>0.69605263157894748</v>
      </c>
    </row>
    <row r="23" spans="1:34" ht="14.25" customHeight="1">
      <c r="A23" s="284" t="s">
        <v>16</v>
      </c>
      <c r="B23" s="285"/>
      <c r="C23" s="107"/>
      <c r="D23" s="4"/>
      <c r="E23" s="3"/>
      <c r="F23" s="5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/>
      <c r="AB23" s="26"/>
      <c r="AC23" s="26"/>
      <c r="AD23" s="26"/>
      <c r="AE23" s="26"/>
      <c r="AF23" s="26"/>
      <c r="AG23" s="26"/>
      <c r="AH23" s="194"/>
    </row>
    <row r="24" spans="1:34">
      <c r="A24" s="196"/>
      <c r="B24" s="104" t="s">
        <v>17</v>
      </c>
      <c r="C24" s="107">
        <v>240</v>
      </c>
      <c r="D24" s="201">
        <v>240</v>
      </c>
      <c r="E24" s="3"/>
      <c r="F24" s="5"/>
      <c r="G24" s="22">
        <v>120</v>
      </c>
      <c r="H24" s="40">
        <f>G24/D24</f>
        <v>0.5</v>
      </c>
      <c r="I24" s="22">
        <v>6</v>
      </c>
      <c r="J24" s="22">
        <v>150</v>
      </c>
      <c r="K24" s="40">
        <f>J24/D24</f>
        <v>0.625</v>
      </c>
      <c r="L24" s="26">
        <v>5</v>
      </c>
      <c r="M24" s="26">
        <v>180</v>
      </c>
      <c r="N24" s="40">
        <f>M24/D24</f>
        <v>0.75</v>
      </c>
      <c r="O24" s="26">
        <v>4</v>
      </c>
      <c r="P24" s="26">
        <v>200</v>
      </c>
      <c r="Q24" s="40">
        <f>P24/D24</f>
        <v>0.83333333333333337</v>
      </c>
      <c r="R24" s="26">
        <v>3</v>
      </c>
      <c r="S24" s="26">
        <v>220</v>
      </c>
      <c r="T24" s="40">
        <f>S24/D24</f>
        <v>0.91666666666666663</v>
      </c>
      <c r="U24" s="26">
        <v>2</v>
      </c>
      <c r="V24" s="22"/>
      <c r="W24" s="22"/>
      <c r="X24" s="22"/>
      <c r="Y24" s="24"/>
      <c r="AA24">
        <f>SUM(AB24:AF24)</f>
        <v>20</v>
      </c>
      <c r="AB24">
        <v>6</v>
      </c>
      <c r="AC24">
        <v>5</v>
      </c>
      <c r="AD24">
        <v>4</v>
      </c>
      <c r="AE24">
        <v>3</v>
      </c>
      <c r="AF24">
        <v>2</v>
      </c>
      <c r="AG24" s="26"/>
      <c r="AH24" s="194"/>
    </row>
    <row r="25" spans="1:34">
      <c r="A25" s="196"/>
      <c r="B25" s="197" t="s">
        <v>13</v>
      </c>
      <c r="C25" s="107">
        <v>280</v>
      </c>
      <c r="D25" s="201">
        <v>280</v>
      </c>
      <c r="E25" s="3"/>
      <c r="F25" s="5"/>
      <c r="G25" s="22">
        <v>140</v>
      </c>
      <c r="H25" s="40">
        <f>G25/D25</f>
        <v>0.5</v>
      </c>
      <c r="I25" s="22">
        <v>6</v>
      </c>
      <c r="J25" s="22">
        <v>4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  <c r="AA25">
        <f>SUM(AB25:AE25)</f>
        <v>24</v>
      </c>
      <c r="AB25">
        <v>24</v>
      </c>
      <c r="AG25" s="26"/>
      <c r="AH25" s="194"/>
    </row>
    <row r="26" spans="1:34">
      <c r="A26" s="198"/>
      <c r="B26" s="191" t="s">
        <v>71</v>
      </c>
      <c r="C26" s="107"/>
      <c r="D26" s="4">
        <v>60</v>
      </c>
      <c r="E26" s="3">
        <v>6</v>
      </c>
      <c r="F26" s="5">
        <v>4</v>
      </c>
      <c r="G26" s="22"/>
      <c r="H26" s="4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/>
      <c r="AA26">
        <f>E26*F26</f>
        <v>24</v>
      </c>
      <c r="AB26" s="26"/>
      <c r="AC26" s="26"/>
      <c r="AD26" s="26"/>
      <c r="AE26" s="26"/>
      <c r="AF26" s="26"/>
      <c r="AG26" s="26"/>
      <c r="AH26" s="194"/>
    </row>
    <row r="27" spans="1:34">
      <c r="A27" s="62"/>
      <c r="B27" s="199" t="s">
        <v>102</v>
      </c>
      <c r="C27" s="107"/>
      <c r="D27" s="4">
        <v>35</v>
      </c>
      <c r="E27" s="3">
        <v>4</v>
      </c>
      <c r="F27" s="5">
        <v>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/>
      <c r="AA27">
        <f t="shared" ref="AA27:AA28" si="4">E27*F27</f>
        <v>12</v>
      </c>
      <c r="AB27" s="26"/>
      <c r="AC27" s="26"/>
      <c r="AD27" s="26"/>
      <c r="AE27" s="26"/>
      <c r="AF27" s="26"/>
      <c r="AG27" s="26"/>
      <c r="AH27" s="194"/>
    </row>
    <row r="28" spans="1:34">
      <c r="A28" s="62"/>
      <c r="B28" s="199" t="s">
        <v>69</v>
      </c>
      <c r="C28" s="107"/>
      <c r="D28" s="4">
        <v>45</v>
      </c>
      <c r="E28" s="3">
        <v>4</v>
      </c>
      <c r="F28" s="5">
        <v>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/>
      <c r="AA28">
        <f t="shared" si="4"/>
        <v>12</v>
      </c>
      <c r="AB28" s="26"/>
      <c r="AC28" s="26"/>
      <c r="AD28" s="26"/>
      <c r="AE28" s="26"/>
      <c r="AF28" s="26"/>
      <c r="AG28" s="26"/>
      <c r="AH28" s="194"/>
    </row>
    <row r="29" spans="1:34" ht="15.75" thickBot="1">
      <c r="A29" s="202"/>
      <c r="B29" s="92"/>
      <c r="C29" s="107"/>
      <c r="D29" s="200"/>
      <c r="E29" s="3"/>
      <c r="F29" s="5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/>
      <c r="AA29">
        <f>SUM(AA24:AA28)</f>
        <v>92</v>
      </c>
      <c r="AB29" s="26"/>
      <c r="AC29" s="26"/>
      <c r="AD29" s="26"/>
      <c r="AE29" s="26"/>
      <c r="AF29" s="26"/>
      <c r="AG29" s="26"/>
      <c r="AH29" s="194"/>
    </row>
    <row r="30" spans="1:34" ht="15.75" thickBot="1">
      <c r="A30" s="3"/>
      <c r="B30" s="3"/>
      <c r="C30" s="20"/>
      <c r="D30" s="200"/>
      <c r="E30" s="3"/>
      <c r="F30" s="5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/>
      <c r="AB30" s="110">
        <f>SUM(AB24:AB25)</f>
        <v>30</v>
      </c>
      <c r="AC30" s="111">
        <f t="shared" ref="AC30:AF30" si="5">SUM(AC24:AC25)</f>
        <v>5</v>
      </c>
      <c r="AD30" s="111">
        <f t="shared" si="5"/>
        <v>4</v>
      </c>
      <c r="AE30" s="111">
        <f t="shared" si="5"/>
        <v>3</v>
      </c>
      <c r="AF30" s="112">
        <f t="shared" si="5"/>
        <v>2</v>
      </c>
      <c r="AG30" s="117">
        <f>SUM(AB30:AF30)</f>
        <v>44</v>
      </c>
      <c r="AH30" s="130">
        <f>(0.55*AB30+0.65*AC30+0.75*AD30+0.85*AE30+0.95*AF30)/AG30</f>
        <v>0.61818181818181817</v>
      </c>
    </row>
    <row r="31" spans="1:34">
      <c r="A31" s="3"/>
      <c r="B31" s="3"/>
      <c r="C31" s="20"/>
      <c r="D31" s="200"/>
      <c r="E31" s="3"/>
      <c r="F31" s="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/>
      <c r="AB31" s="26"/>
      <c r="AC31" s="26"/>
      <c r="AD31" s="26"/>
      <c r="AE31" s="26"/>
      <c r="AF31" s="26"/>
      <c r="AG31" s="26"/>
      <c r="AH31" s="194"/>
    </row>
    <row r="32" spans="1:34">
      <c r="A32" s="4"/>
      <c r="B32" s="16"/>
      <c r="C32" s="107"/>
      <c r="D32" s="4"/>
      <c r="E32" s="3"/>
      <c r="F32" s="5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/>
      <c r="AB32" s="26"/>
      <c r="AC32" s="26"/>
      <c r="AD32" s="26"/>
      <c r="AE32" s="26"/>
      <c r="AF32" s="26"/>
      <c r="AG32" s="26"/>
      <c r="AH32" s="194"/>
    </row>
    <row r="33" spans="1:34">
      <c r="A33" s="4" t="s">
        <v>101</v>
      </c>
      <c r="B33" s="16"/>
      <c r="C33" s="107"/>
      <c r="D33" s="4"/>
      <c r="E33" s="3"/>
      <c r="F33" s="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4"/>
    </row>
    <row r="34" spans="1:34">
      <c r="A34" s="4"/>
      <c r="B34" s="104" t="s">
        <v>56</v>
      </c>
      <c r="C34" s="107">
        <f>G3*0.9</f>
        <v>252</v>
      </c>
      <c r="D34" s="4"/>
      <c r="E34" s="3"/>
      <c r="F34" s="5"/>
      <c r="G34" s="22">
        <v>130</v>
      </c>
      <c r="H34" s="40">
        <f>G34/C34</f>
        <v>0.51587301587301593</v>
      </c>
      <c r="I34" s="26">
        <v>3</v>
      </c>
      <c r="J34" s="26">
        <v>160</v>
      </c>
      <c r="K34" s="40">
        <f>J34/C34</f>
        <v>0.63492063492063489</v>
      </c>
      <c r="L34" s="26">
        <v>3</v>
      </c>
      <c r="M34" s="26">
        <v>170</v>
      </c>
      <c r="N34" s="40">
        <f>M34/C34</f>
        <v>0.67460317460317465</v>
      </c>
      <c r="O34" s="26">
        <v>3</v>
      </c>
      <c r="P34" s="26">
        <v>180</v>
      </c>
      <c r="Q34" s="40">
        <f>P34/C34</f>
        <v>0.7142857142857143</v>
      </c>
      <c r="R34" s="26">
        <v>3</v>
      </c>
      <c r="S34" s="26">
        <v>2</v>
      </c>
      <c r="U34" s="40"/>
      <c r="V34" s="26"/>
      <c r="W34" s="22"/>
      <c r="X34" s="22"/>
      <c r="Y34" s="24"/>
      <c r="AA34">
        <f>SUM(AB34:AF34)</f>
        <v>15</v>
      </c>
      <c r="AB34">
        <v>3</v>
      </c>
      <c r="AC34">
        <v>6</v>
      </c>
      <c r="AD34">
        <v>6</v>
      </c>
    </row>
    <row r="35" spans="1:34">
      <c r="A35" s="4"/>
      <c r="B35" s="104" t="s">
        <v>70</v>
      </c>
      <c r="C35" s="107">
        <f>G3*1.03</f>
        <v>288.40000000000003</v>
      </c>
      <c r="D35" s="4"/>
      <c r="E35" s="3"/>
      <c r="F35" s="5"/>
      <c r="G35" s="22">
        <v>200</v>
      </c>
      <c r="H35" s="40">
        <f>G35/C35</f>
        <v>0.69348127600554776</v>
      </c>
      <c r="I35" s="26">
        <v>3</v>
      </c>
      <c r="J35" s="26">
        <v>220</v>
      </c>
      <c r="K35" s="40">
        <f>J35/C35</f>
        <v>0.76282940360610252</v>
      </c>
      <c r="L35" s="26">
        <v>2</v>
      </c>
      <c r="M35" s="26">
        <v>240</v>
      </c>
      <c r="N35" s="105">
        <f>M35/C35</f>
        <v>0.83217753120665727</v>
      </c>
      <c r="O35" s="150">
        <v>1</v>
      </c>
      <c r="P35" s="128">
        <v>250</v>
      </c>
      <c r="Q35" s="153">
        <f>P35/C35</f>
        <v>0.86685159500693476</v>
      </c>
      <c r="R35" s="128">
        <v>1</v>
      </c>
      <c r="S35" s="128">
        <v>260</v>
      </c>
      <c r="T35" s="203">
        <f>S35/C35</f>
        <v>0.90152565880721214</v>
      </c>
      <c r="U35" s="128">
        <v>1</v>
      </c>
      <c r="V35" s="150">
        <v>270</v>
      </c>
      <c r="W35" s="105">
        <f>V35/C35</f>
        <v>0.93619972260748952</v>
      </c>
      <c r="X35" s="128">
        <v>1</v>
      </c>
      <c r="Y35" s="24"/>
      <c r="AA35">
        <f>SUM(AB35:AF35)</f>
        <v>9</v>
      </c>
      <c r="AC35">
        <v>3</v>
      </c>
      <c r="AD35">
        <v>2</v>
      </c>
      <c r="AE35">
        <v>2</v>
      </c>
      <c r="AF35">
        <v>2</v>
      </c>
    </row>
    <row r="36" spans="1:34">
      <c r="A36" s="4"/>
      <c r="B36" s="103" t="s">
        <v>33</v>
      </c>
      <c r="C36" s="107"/>
      <c r="D36" s="4">
        <v>40</v>
      </c>
      <c r="E36" s="3">
        <v>6</v>
      </c>
      <c r="F36" s="5">
        <v>4</v>
      </c>
      <c r="G36" s="22"/>
      <c r="H36" s="22"/>
      <c r="I36" s="22"/>
      <c r="T36" s="22"/>
      <c r="U36" s="22"/>
      <c r="V36" s="22"/>
      <c r="W36" s="22"/>
      <c r="X36" s="22"/>
      <c r="Y36" s="24"/>
      <c r="AA36">
        <f>E36*F36</f>
        <v>24</v>
      </c>
    </row>
    <row r="37" spans="1:34" ht="15.75" thickBot="1">
      <c r="A37" s="6"/>
      <c r="B37" s="168" t="s">
        <v>81</v>
      </c>
      <c r="C37" s="169"/>
      <c r="D37" s="170">
        <v>60</v>
      </c>
      <c r="E37" s="171">
        <v>5</v>
      </c>
      <c r="F37" s="172">
        <v>5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  <c r="AA37">
        <f>E37*F37</f>
        <v>25</v>
      </c>
    </row>
    <row r="38" spans="1:34" ht="15.75" thickBot="1">
      <c r="AA38">
        <f>SUM(AA34:AA37)</f>
        <v>73</v>
      </c>
    </row>
    <row r="39" spans="1:34" ht="15.75" thickBot="1">
      <c r="AB39" s="110">
        <f>SUM(AB34:AB38)</f>
        <v>3</v>
      </c>
      <c r="AC39" s="111">
        <f>SUM(AC34:AC38)</f>
        <v>9</v>
      </c>
      <c r="AD39" s="111">
        <f>SUM(AD34:AD38)</f>
        <v>8</v>
      </c>
      <c r="AE39" s="111">
        <f>SUM(AE34:AE38)</f>
        <v>2</v>
      </c>
      <c r="AF39" s="112">
        <v>2</v>
      </c>
      <c r="AG39" s="117">
        <f>SUM(AB39:AF39)</f>
        <v>24</v>
      </c>
      <c r="AH39" s="130">
        <f>(0.55*AB39+0.65*AC39+0.75*AD39+0.85*AE39+0.95*AF39)/AG39</f>
        <v>0.71249999999999991</v>
      </c>
    </row>
    <row r="41" spans="1:34" ht="15.75" thickBot="1">
      <c r="AA41">
        <f>AA38+AA21+AA12+AA29</f>
        <v>508</v>
      </c>
    </row>
    <row r="42" spans="1:34" ht="15.75" thickBot="1">
      <c r="AB42" s="116">
        <f>AB39+AB22+AB13+AB30</f>
        <v>52</v>
      </c>
      <c r="AC42" s="117">
        <f>AC39+AC22+AC13+AC30</f>
        <v>78</v>
      </c>
      <c r="AD42" s="117">
        <f>AD39+AD22+AD13+AD30</f>
        <v>48</v>
      </c>
      <c r="AE42" s="117">
        <f>AE39+AE22+AE13+AE30</f>
        <v>10</v>
      </c>
      <c r="AF42" s="118">
        <f>AF39+AF22+AF13+AF30</f>
        <v>5</v>
      </c>
      <c r="AG42" s="195">
        <f>AB42+AC42+AD42+AE42+AF42</f>
        <v>193</v>
      </c>
      <c r="AH42" s="133">
        <f>(0.55*AB42+0.65*AC42+0.75*AD42+0.85*AE42+0.95*AF42)/AG42</f>
        <v>0.66606217616580321</v>
      </c>
    </row>
  </sheetData>
  <mergeCells count="1">
    <mergeCell ref="A23:B23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0"/>
  <sheetViews>
    <sheetView topLeftCell="A13" workbookViewId="0">
      <selection activeCell="H11" sqref="H11"/>
    </sheetView>
  </sheetViews>
  <sheetFormatPr defaultRowHeight="15"/>
  <cols>
    <col min="1" max="1" width="3.140625" customWidth="1"/>
    <col min="2" max="2" width="28.42578125" customWidth="1"/>
    <col min="3" max="3" width="7.140625" style="18" customWidth="1"/>
    <col min="4" max="7" width="4.7109375" customWidth="1"/>
    <col min="8" max="8" width="6.7109375" customWidth="1"/>
    <col min="9" max="9" width="4.85546875" customWidth="1"/>
    <col min="10" max="12" width="4.7109375" customWidth="1"/>
    <col min="13" max="13" width="7.28515625" customWidth="1"/>
    <col min="14" max="14" width="5.85546875" customWidth="1"/>
    <col min="15" max="15" width="5" customWidth="1"/>
    <col min="16" max="16" width="4.7109375" customWidth="1"/>
    <col min="17" max="17" width="7.85546875" customWidth="1"/>
    <col min="18" max="18" width="5.7109375" customWidth="1"/>
    <col min="19" max="19" width="4.85546875" customWidth="1"/>
    <col min="20" max="21" width="4.7109375" customWidth="1"/>
    <col min="22" max="22" width="2.140625" customWidth="1"/>
    <col min="23" max="23" width="4.7109375" customWidth="1"/>
    <col min="24" max="24" width="4.42578125" customWidth="1"/>
    <col min="25" max="25" width="2.5703125" customWidth="1"/>
    <col min="26" max="27" width="4.7109375" customWidth="1"/>
    <col min="28" max="28" width="7.140625" customWidth="1"/>
    <col min="29" max="31" width="5.7109375" bestFit="1" customWidth="1"/>
    <col min="32" max="32" width="6.7109375" bestFit="1" customWidth="1"/>
    <col min="36" max="36" width="11.85546875" customWidth="1"/>
  </cols>
  <sheetData>
    <row r="1" spans="1:34" ht="15.75" thickBot="1">
      <c r="H1" s="192">
        <v>28</v>
      </c>
      <c r="I1" s="135">
        <v>15</v>
      </c>
      <c r="J1" s="114">
        <v>35</v>
      </c>
      <c r="K1" s="115">
        <v>22</v>
      </c>
      <c r="L1" t="s">
        <v>30</v>
      </c>
    </row>
    <row r="2" spans="1:34" ht="15.75" thickBot="1">
      <c r="A2" t="s">
        <v>108</v>
      </c>
      <c r="H2" s="193">
        <v>500</v>
      </c>
      <c r="I2" s="134">
        <f>I1*$O$2</f>
        <v>267.85500000000002</v>
      </c>
      <c r="J2" s="28">
        <f t="shared" ref="J2:K2" si="0">J1*$O$2</f>
        <v>624.995</v>
      </c>
      <c r="K2" s="29">
        <f t="shared" si="0"/>
        <v>392.85399999999998</v>
      </c>
      <c r="L2" t="s">
        <v>94</v>
      </c>
      <c r="O2">
        <v>17.856999999999999</v>
      </c>
    </row>
    <row r="3" spans="1:34" ht="15.75" thickBot="1">
      <c r="B3" t="s">
        <v>93</v>
      </c>
      <c r="F3" t="s">
        <v>24</v>
      </c>
      <c r="G3">
        <v>280</v>
      </c>
      <c r="H3" s="192">
        <v>190</v>
      </c>
      <c r="I3" s="134">
        <f>I1*$O$3</f>
        <v>101.78571428571428</v>
      </c>
      <c r="J3" s="28">
        <f t="shared" ref="J3:K3" si="1">J1*$O$3</f>
        <v>237.5</v>
      </c>
      <c r="K3" s="29">
        <f t="shared" si="1"/>
        <v>149.28571428571428</v>
      </c>
      <c r="L3" t="s">
        <v>95</v>
      </c>
      <c r="O3">
        <f>H3/H1</f>
        <v>6.7857142857142856</v>
      </c>
    </row>
    <row r="4" spans="1:34" ht="15.75" thickBot="1">
      <c r="A4" s="157" t="s">
        <v>115</v>
      </c>
      <c r="B4" s="158"/>
      <c r="C4" s="120"/>
      <c r="D4" s="217"/>
      <c r="E4" s="125"/>
      <c r="F4" s="126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76"/>
      <c r="AA4" s="76" t="s">
        <v>26</v>
      </c>
      <c r="AB4" s="76" t="s">
        <v>72</v>
      </c>
      <c r="AC4" s="76" t="s">
        <v>73</v>
      </c>
      <c r="AD4" s="76" t="s">
        <v>74</v>
      </c>
      <c r="AE4" s="76" t="s">
        <v>75</v>
      </c>
      <c r="AF4" s="76" t="s">
        <v>76</v>
      </c>
    </row>
    <row r="5" spans="1:34">
      <c r="A5" s="100"/>
      <c r="B5" s="205" t="s">
        <v>13</v>
      </c>
      <c r="C5" s="161">
        <v>280</v>
      </c>
      <c r="D5" s="4">
        <v>100</v>
      </c>
      <c r="E5" s="3">
        <v>6</v>
      </c>
      <c r="F5" s="5">
        <v>6</v>
      </c>
      <c r="G5" s="27"/>
      <c r="H5" s="162"/>
      <c r="I5" s="163"/>
      <c r="J5" s="163"/>
      <c r="K5" s="162"/>
      <c r="L5" s="163"/>
      <c r="M5" s="163"/>
      <c r="N5" s="162"/>
      <c r="O5" s="163"/>
      <c r="P5" s="163"/>
      <c r="Q5" s="164"/>
      <c r="R5" s="165"/>
      <c r="S5" s="165"/>
      <c r="T5" s="165"/>
      <c r="U5" s="162"/>
      <c r="V5" s="166"/>
      <c r="W5" s="166"/>
      <c r="X5" s="162"/>
      <c r="Y5" s="167"/>
    </row>
    <row r="6" spans="1:34">
      <c r="A6" s="4"/>
      <c r="B6" s="204" t="s">
        <v>33</v>
      </c>
      <c r="C6" s="107"/>
      <c r="D6" s="4">
        <v>26</v>
      </c>
      <c r="E6" s="3">
        <v>6</v>
      </c>
      <c r="F6" s="5">
        <v>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4"/>
    </row>
    <row r="7" spans="1:34">
      <c r="A7" s="4"/>
      <c r="B7" s="204" t="s">
        <v>32</v>
      </c>
      <c r="C7" s="107"/>
      <c r="D7" s="4">
        <v>40</v>
      </c>
      <c r="E7" s="3">
        <v>6</v>
      </c>
      <c r="F7" s="5">
        <v>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</row>
    <row r="8" spans="1:34">
      <c r="A8" s="4"/>
      <c r="B8" s="108" t="s">
        <v>110</v>
      </c>
      <c r="C8" s="107"/>
      <c r="D8" s="4">
        <v>26</v>
      </c>
      <c r="E8" s="3">
        <v>3</v>
      </c>
      <c r="F8" s="5">
        <v>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AA8">
        <v>18</v>
      </c>
    </row>
    <row r="9" spans="1:34">
      <c r="A9" s="4"/>
      <c r="B9" s="204" t="s">
        <v>81</v>
      </c>
      <c r="C9" s="107"/>
      <c r="D9" s="4">
        <v>50</v>
      </c>
      <c r="E9" s="3">
        <v>20</v>
      </c>
      <c r="F9" s="5">
        <v>4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</row>
    <row r="10" spans="1:34">
      <c r="A10" s="4"/>
      <c r="B10" s="16"/>
      <c r="C10" s="107"/>
      <c r="D10" s="4"/>
      <c r="E10" s="3"/>
      <c r="F10" s="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AB10" s="22"/>
      <c r="AC10" s="22"/>
    </row>
    <row r="11" spans="1:34">
      <c r="A11" s="4"/>
      <c r="B11" s="16"/>
      <c r="C11" s="107"/>
      <c r="D11" s="23"/>
      <c r="E11" s="22"/>
      <c r="F11" s="2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AB11" s="26"/>
      <c r="AC11" s="26"/>
      <c r="AD11" s="26"/>
      <c r="AG11" s="26"/>
      <c r="AH11" s="194"/>
    </row>
    <row r="12" spans="1:34">
      <c r="A12" s="4"/>
      <c r="B12" s="3"/>
      <c r="C12" s="92"/>
      <c r="D12" s="23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AB12" s="26"/>
      <c r="AC12" s="26"/>
      <c r="AD12" s="26"/>
      <c r="AE12" s="26"/>
      <c r="AF12" s="26"/>
      <c r="AG12" s="26"/>
      <c r="AH12" s="194"/>
    </row>
    <row r="13" spans="1:34">
      <c r="A13" s="4" t="s">
        <v>119</v>
      </c>
      <c r="B13" s="16"/>
      <c r="C13" s="107"/>
      <c r="D13" s="4"/>
      <c r="E13" s="3"/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4"/>
    </row>
    <row r="14" spans="1:34">
      <c r="A14" s="4"/>
      <c r="B14" s="104" t="s">
        <v>13</v>
      </c>
      <c r="C14" s="107">
        <v>280</v>
      </c>
      <c r="D14" s="4"/>
      <c r="E14" s="3"/>
      <c r="F14" s="5"/>
      <c r="G14" s="22">
        <v>140</v>
      </c>
      <c r="H14" s="40">
        <f>G14/C14</f>
        <v>0.5</v>
      </c>
      <c r="I14" s="26">
        <v>5</v>
      </c>
      <c r="J14" s="26">
        <v>170</v>
      </c>
      <c r="K14" s="40">
        <f>J14/C14</f>
        <v>0.6071428571428571</v>
      </c>
      <c r="L14" s="26">
        <v>5</v>
      </c>
      <c r="M14" s="26">
        <v>200</v>
      </c>
      <c r="N14" s="105">
        <f>M14/C14</f>
        <v>0.7142857142857143</v>
      </c>
      <c r="O14" s="150">
        <v>5</v>
      </c>
      <c r="P14" s="128">
        <v>225</v>
      </c>
      <c r="Q14" s="194">
        <f>P14/C14</f>
        <v>0.8035714285714286</v>
      </c>
      <c r="R14" s="150">
        <v>4</v>
      </c>
      <c r="S14" s="128">
        <v>5</v>
      </c>
      <c r="T14" s="26"/>
      <c r="U14" s="40"/>
      <c r="V14" s="26"/>
      <c r="W14" s="22"/>
      <c r="X14" s="22"/>
      <c r="Y14" s="24"/>
      <c r="AA14">
        <f>SUM(AB14:AF14)</f>
        <v>35</v>
      </c>
      <c r="AB14">
        <v>5</v>
      </c>
      <c r="AC14">
        <v>5</v>
      </c>
      <c r="AD14">
        <v>5</v>
      </c>
      <c r="AE14">
        <v>20</v>
      </c>
    </row>
    <row r="15" spans="1:34">
      <c r="A15" s="4"/>
      <c r="B15" s="103" t="s">
        <v>71</v>
      </c>
      <c r="C15" s="107"/>
      <c r="D15" s="4">
        <v>70</v>
      </c>
      <c r="E15" s="3">
        <v>6</v>
      </c>
      <c r="F15" s="5">
        <v>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4"/>
      <c r="AA15">
        <f>E15*F15</f>
        <v>36</v>
      </c>
    </row>
    <row r="16" spans="1:34">
      <c r="A16" s="207"/>
      <c r="B16" s="208" t="s">
        <v>102</v>
      </c>
      <c r="C16" s="209"/>
      <c r="D16" s="4">
        <v>26</v>
      </c>
      <c r="E16" s="3">
        <v>6</v>
      </c>
      <c r="F16" s="5">
        <v>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4"/>
      <c r="AA16">
        <f>E16*F16</f>
        <v>12</v>
      </c>
    </row>
    <row r="17" spans="1:34">
      <c r="A17" s="23"/>
      <c r="B17" s="210" t="s">
        <v>81</v>
      </c>
      <c r="C17" s="211"/>
      <c r="D17" s="65">
        <v>50</v>
      </c>
      <c r="E17" s="214">
        <v>20</v>
      </c>
      <c r="F17" s="215">
        <v>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4"/>
    </row>
    <row r="18" spans="1:34" ht="15.75" thickBot="1">
      <c r="A18" s="23"/>
      <c r="B18" s="22"/>
      <c r="C18" s="26"/>
      <c r="D18" s="23"/>
      <c r="E18" s="22"/>
      <c r="F18" s="2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4"/>
      <c r="AA18">
        <f>SUM(AA14:AA17)</f>
        <v>83</v>
      </c>
    </row>
    <row r="19" spans="1:34" ht="15.75" thickBot="1">
      <c r="A19" s="23"/>
      <c r="B19" s="22"/>
      <c r="C19" s="26"/>
      <c r="D19" s="23"/>
      <c r="E19" s="22"/>
      <c r="F19" s="2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4"/>
      <c r="AB19" s="110">
        <f>SUM(AB14:AB18)</f>
        <v>5</v>
      </c>
      <c r="AC19" s="111">
        <f>SUM(AC14:AC18)</f>
        <v>5</v>
      </c>
      <c r="AD19" s="111">
        <f>SUM(AD14:AD18)</f>
        <v>5</v>
      </c>
      <c r="AE19" s="112">
        <f>SUM(AE14:AE18)</f>
        <v>20</v>
      </c>
      <c r="AF19" s="26"/>
      <c r="AG19" s="116">
        <f>SUM(AB19:AF19)</f>
        <v>35</v>
      </c>
      <c r="AH19" s="130">
        <f>(0.55*AB19+0.65*AC19+0.75*AD19+0.85*AE19+0.95*AF19)/AG19</f>
        <v>0.76428571428571423</v>
      </c>
    </row>
    <row r="20" spans="1:34">
      <c r="A20" s="23" t="s">
        <v>118</v>
      </c>
      <c r="B20" s="22"/>
      <c r="C20" s="26"/>
      <c r="D20" s="23"/>
      <c r="E20" s="22"/>
      <c r="F20" s="2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/>
    </row>
    <row r="21" spans="1:34">
      <c r="A21" s="23"/>
      <c r="B21" s="206" t="s">
        <v>13</v>
      </c>
      <c r="C21" s="92"/>
      <c r="D21" s="8">
        <v>80</v>
      </c>
      <c r="E21" s="9">
        <v>6</v>
      </c>
      <c r="F21" s="10">
        <v>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/>
    </row>
    <row r="22" spans="1:34">
      <c r="A22" s="23"/>
      <c r="B22" s="206" t="s">
        <v>33</v>
      </c>
      <c r="C22" s="92"/>
      <c r="D22" s="4">
        <v>26</v>
      </c>
      <c r="E22" s="3">
        <v>6</v>
      </c>
      <c r="F22" s="5">
        <v>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/>
    </row>
    <row r="23" spans="1:34">
      <c r="A23" s="23"/>
      <c r="B23" s="206" t="s">
        <v>32</v>
      </c>
      <c r="C23" s="92"/>
      <c r="D23" s="4">
        <v>40</v>
      </c>
      <c r="E23" s="3">
        <v>6</v>
      </c>
      <c r="F23" s="5">
        <v>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/>
    </row>
    <row r="24" spans="1:34">
      <c r="A24" s="23"/>
      <c r="B24" s="55" t="s">
        <v>36</v>
      </c>
      <c r="C24" s="92"/>
      <c r="D24" s="4">
        <v>60</v>
      </c>
      <c r="E24" s="3">
        <v>6</v>
      </c>
      <c r="F24" s="5"/>
      <c r="G24" s="22">
        <v>80</v>
      </c>
      <c r="H24" s="22">
        <v>5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/>
      <c r="AA24">
        <v>11</v>
      </c>
    </row>
    <row r="25" spans="1:34">
      <c r="A25" s="23"/>
      <c r="B25" s="206" t="s">
        <v>81</v>
      </c>
      <c r="C25" s="92"/>
      <c r="D25" s="4">
        <v>50</v>
      </c>
      <c r="E25" s="3">
        <v>20</v>
      </c>
      <c r="F25" s="5"/>
      <c r="G25" s="22">
        <v>70</v>
      </c>
      <c r="H25" s="22">
        <v>20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/>
    </row>
    <row r="26" spans="1:34">
      <c r="A26" s="23"/>
      <c r="B26" s="55" t="s">
        <v>116</v>
      </c>
      <c r="C26" s="92"/>
      <c r="D26" s="4">
        <v>30</v>
      </c>
      <c r="E26" s="3">
        <v>4</v>
      </c>
      <c r="F26" s="5">
        <v>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/>
      <c r="AA26">
        <v>16</v>
      </c>
    </row>
    <row r="27" spans="1:34" ht="15.75" thickBot="1">
      <c r="A27" s="57"/>
      <c r="B27" s="212" t="s">
        <v>117</v>
      </c>
      <c r="C27" s="213"/>
      <c r="D27" s="6">
        <v>16</v>
      </c>
      <c r="E27" s="7">
        <v>6</v>
      </c>
      <c r="F27" s="216">
        <v>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</row>
    <row r="29" spans="1:34" ht="15.75" thickBot="1">
      <c r="AA29">
        <f>AA26+AA24+AA18+AA15+AA16+AA14+AA8</f>
        <v>211</v>
      </c>
    </row>
    <row r="30" spans="1:34" ht="15.75" thickBot="1">
      <c r="AB30" s="116">
        <f>AB19+AB11</f>
        <v>5</v>
      </c>
      <c r="AC30" s="117">
        <f>AC19+AC11</f>
        <v>5</v>
      </c>
      <c r="AD30" s="117">
        <f>AD19+AD11</f>
        <v>5</v>
      </c>
      <c r="AE30" s="117">
        <f>AE19+AE11</f>
        <v>20</v>
      </c>
      <c r="AF30" s="118"/>
      <c r="AG30" s="195">
        <f>AB30+AC30+AD30+AE30+AF30</f>
        <v>35</v>
      </c>
      <c r="AH30" s="133">
        <f>(0.55*AB30+0.65*AC30+0.75*AD30+0.85*AE30+0.95*AF30)/AG30</f>
        <v>0.76428571428571423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6"/>
  <sheetViews>
    <sheetView workbookViewId="0">
      <selection activeCell="K25" sqref="K25"/>
    </sheetView>
  </sheetViews>
  <sheetFormatPr defaultRowHeight="15"/>
  <cols>
    <col min="1" max="1" width="3.7109375" customWidth="1"/>
    <col min="2" max="2" width="22" customWidth="1"/>
    <col min="3" max="3" width="5" customWidth="1"/>
    <col min="4" max="6" width="4.7109375" customWidth="1"/>
    <col min="7" max="7" width="4.140625" bestFit="1" customWidth="1"/>
    <col min="8" max="8" width="4.7109375" customWidth="1"/>
    <col min="9" max="9" width="4" bestFit="1" customWidth="1"/>
    <col min="10" max="10" width="4.140625" bestFit="1" customWidth="1"/>
    <col min="11" max="11" width="6.140625" bestFit="1" customWidth="1"/>
    <col min="12" max="12" width="3.5703125" customWidth="1"/>
    <col min="13" max="13" width="7.5703125" bestFit="1" customWidth="1"/>
    <col min="14" max="15" width="4.7109375" customWidth="1"/>
    <col min="16" max="16" width="4.42578125" customWidth="1"/>
    <col min="17" max="17" width="4.7109375" customWidth="1"/>
    <col min="18" max="18" width="4.28515625" customWidth="1"/>
    <col min="19" max="19" width="7.5703125" bestFit="1" customWidth="1"/>
    <col min="20" max="23" width="4.42578125" customWidth="1"/>
    <col min="24" max="24" width="4.7109375" bestFit="1" customWidth="1"/>
    <col min="25" max="25" width="2.140625" bestFit="1" customWidth="1"/>
    <col min="26" max="26" width="4.42578125" customWidth="1"/>
    <col min="27" max="27" width="4.7109375" bestFit="1" customWidth="1"/>
    <col min="28" max="28" width="2.140625" bestFit="1" customWidth="1"/>
    <col min="30" max="34" width="5.7109375" customWidth="1"/>
    <col min="35" max="35" width="6.42578125" customWidth="1"/>
  </cols>
  <sheetData>
    <row r="1" spans="1:37" ht="15.75" thickBot="1">
      <c r="C1" s="18"/>
      <c r="H1" s="192">
        <v>28</v>
      </c>
      <c r="I1" s="135">
        <v>15</v>
      </c>
      <c r="J1" s="114">
        <v>35</v>
      </c>
      <c r="K1" s="115">
        <v>22</v>
      </c>
      <c r="L1" t="s">
        <v>30</v>
      </c>
    </row>
    <row r="2" spans="1:37" ht="15.75" thickBot="1">
      <c r="A2" t="s">
        <v>108</v>
      </c>
      <c r="C2" s="18"/>
      <c r="H2" s="193">
        <v>500</v>
      </c>
      <c r="I2" s="134">
        <f>I1*$O$2</f>
        <v>267.85500000000002</v>
      </c>
      <c r="J2" s="28">
        <f t="shared" ref="J2:K2" si="0">J1*$O$2</f>
        <v>624.995</v>
      </c>
      <c r="K2" s="29">
        <f t="shared" si="0"/>
        <v>392.85399999999998</v>
      </c>
      <c r="L2" t="s">
        <v>94</v>
      </c>
      <c r="O2">
        <v>17.856999999999999</v>
      </c>
    </row>
    <row r="3" spans="1:37" ht="15.75" thickBot="1">
      <c r="B3" t="s">
        <v>106</v>
      </c>
      <c r="C3" s="18"/>
      <c r="F3" t="s">
        <v>24</v>
      </c>
      <c r="G3">
        <v>280</v>
      </c>
      <c r="H3" s="192">
        <v>190</v>
      </c>
      <c r="I3" s="134">
        <f>I1*$O$3</f>
        <v>101.78571428571428</v>
      </c>
      <c r="J3" s="28">
        <f t="shared" ref="J3:K3" si="1">J1*$O$3</f>
        <v>237.5</v>
      </c>
      <c r="K3" s="29">
        <f t="shared" si="1"/>
        <v>149.28571428571428</v>
      </c>
      <c r="L3" t="s">
        <v>95</v>
      </c>
      <c r="O3">
        <f>H3/H1</f>
        <v>6.7857142857142856</v>
      </c>
    </row>
    <row r="5" spans="1:37" ht="15.75" thickBot="1"/>
    <row r="6" spans="1:37">
      <c r="A6" s="6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30"/>
      <c r="V6" s="27"/>
      <c r="W6" s="27"/>
      <c r="X6" s="27"/>
      <c r="Y6" s="27"/>
      <c r="Z6" s="27"/>
      <c r="AA6" s="27"/>
      <c r="AB6" s="30"/>
    </row>
    <row r="7" spans="1:3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4"/>
      <c r="V7" s="22"/>
      <c r="W7" s="22"/>
      <c r="X7" s="22"/>
      <c r="Y7" s="22"/>
      <c r="Z7" s="22"/>
      <c r="AA7" s="22"/>
      <c r="AB7" s="24"/>
      <c r="AD7" s="76" t="s">
        <v>26</v>
      </c>
      <c r="AE7" s="76" t="s">
        <v>72</v>
      </c>
      <c r="AF7" s="76" t="s">
        <v>73</v>
      </c>
      <c r="AG7" s="76" t="s">
        <v>74</v>
      </c>
      <c r="AH7" s="76" t="s">
        <v>75</v>
      </c>
      <c r="AI7" s="76" t="s">
        <v>76</v>
      </c>
    </row>
    <row r="8" spans="1:37">
      <c r="A8" s="4">
        <v>1</v>
      </c>
      <c r="B8" s="138" t="s">
        <v>13</v>
      </c>
      <c r="C8" s="3">
        <v>280</v>
      </c>
      <c r="D8" s="3"/>
      <c r="E8" s="3"/>
      <c r="F8" s="3"/>
      <c r="G8" s="22">
        <v>140</v>
      </c>
      <c r="H8" s="40">
        <f>G8/C8</f>
        <v>0.5</v>
      </c>
      <c r="I8" s="22">
        <v>6</v>
      </c>
      <c r="J8" s="22">
        <v>170</v>
      </c>
      <c r="K8" s="40">
        <f>J8/C8</f>
        <v>0.6071428571428571</v>
      </c>
      <c r="L8" s="26">
        <v>6</v>
      </c>
      <c r="M8" s="26">
        <v>200</v>
      </c>
      <c r="N8" s="40">
        <f>M8/C8</f>
        <v>0.7142857142857143</v>
      </c>
      <c r="O8" s="26">
        <v>5</v>
      </c>
      <c r="P8" s="26">
        <v>5</v>
      </c>
      <c r="Q8" s="40"/>
      <c r="R8" s="22"/>
      <c r="S8" s="26"/>
      <c r="T8" s="40"/>
      <c r="U8" s="127"/>
      <c r="V8" s="22"/>
      <c r="W8" s="22"/>
      <c r="X8" s="22"/>
      <c r="Y8" s="22"/>
      <c r="Z8" s="22"/>
      <c r="AA8" s="22"/>
      <c r="AB8" s="24"/>
      <c r="AD8">
        <f>SUM(AE8:AI8)</f>
        <v>37</v>
      </c>
      <c r="AE8">
        <v>6</v>
      </c>
      <c r="AF8">
        <v>6</v>
      </c>
      <c r="AG8">
        <v>25</v>
      </c>
    </row>
    <row r="9" spans="1:37">
      <c r="A9" s="4">
        <v>2</v>
      </c>
      <c r="B9" s="138" t="s">
        <v>22</v>
      </c>
      <c r="C9" s="3">
        <f>G3*0.8</f>
        <v>224</v>
      </c>
      <c r="D9" s="3"/>
      <c r="E9" s="3"/>
      <c r="F9" s="3"/>
      <c r="G9" s="22">
        <v>130</v>
      </c>
      <c r="H9" s="40">
        <f>G9/C9</f>
        <v>0.5803571428571429</v>
      </c>
      <c r="I9" s="22">
        <v>4</v>
      </c>
      <c r="J9" s="22">
        <v>150</v>
      </c>
      <c r="K9" s="105">
        <f>J9/C9</f>
        <v>0.6696428571428571</v>
      </c>
      <c r="L9" s="150">
        <v>4</v>
      </c>
      <c r="M9" s="128">
        <v>162.5</v>
      </c>
      <c r="N9" s="105">
        <f>M9/C9</f>
        <v>0.7254464285714286</v>
      </c>
      <c r="O9" s="128">
        <v>3</v>
      </c>
      <c r="P9" s="128">
        <v>3</v>
      </c>
      <c r="Q9" s="22"/>
      <c r="R9" s="22"/>
      <c r="S9" s="22"/>
      <c r="T9" s="22"/>
      <c r="U9" s="24"/>
      <c r="V9" s="22"/>
      <c r="W9" s="22"/>
      <c r="X9" s="22"/>
      <c r="Y9" s="22"/>
      <c r="Z9" s="22"/>
      <c r="AA9" s="22"/>
      <c r="AB9" s="24"/>
      <c r="AD9">
        <f>SUM(AE9:AI9)</f>
        <v>17</v>
      </c>
      <c r="AE9">
        <v>4</v>
      </c>
      <c r="AF9">
        <v>4</v>
      </c>
      <c r="AG9">
        <v>9</v>
      </c>
    </row>
    <row r="10" spans="1:37">
      <c r="A10" s="4">
        <v>3</v>
      </c>
      <c r="B10" s="55" t="s">
        <v>71</v>
      </c>
      <c r="C10" s="20"/>
      <c r="D10" s="20">
        <v>80</v>
      </c>
      <c r="E10" s="20">
        <v>6</v>
      </c>
      <c r="F10" s="20">
        <v>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4"/>
      <c r="V10" s="22"/>
      <c r="W10" s="22"/>
      <c r="X10" s="22"/>
      <c r="Y10" s="22"/>
      <c r="Z10" s="22"/>
      <c r="AA10" s="22"/>
      <c r="AB10" s="24"/>
      <c r="AD10">
        <f>E10*F10</f>
        <v>24</v>
      </c>
    </row>
    <row r="11" spans="1:37">
      <c r="A11" s="4">
        <v>4</v>
      </c>
      <c r="B11" s="55" t="s">
        <v>32</v>
      </c>
      <c r="C11" s="20"/>
      <c r="D11" s="20">
        <v>60</v>
      </c>
      <c r="E11" s="20">
        <v>6</v>
      </c>
      <c r="F11" s="20">
        <v>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4"/>
      <c r="V11" s="22"/>
      <c r="W11" s="22"/>
      <c r="X11" s="22"/>
      <c r="Y11" s="22"/>
      <c r="Z11" s="22"/>
      <c r="AA11" s="22"/>
      <c r="AB11" s="24"/>
      <c r="AD11">
        <f t="shared" ref="AD11:AD13" si="2">E11*F11</f>
        <v>24</v>
      </c>
    </row>
    <row r="12" spans="1:37">
      <c r="A12" s="4">
        <v>5</v>
      </c>
      <c r="B12" s="139" t="s">
        <v>102</v>
      </c>
      <c r="C12" s="20"/>
      <c r="D12" s="20">
        <v>26</v>
      </c>
      <c r="E12" s="20">
        <v>3</v>
      </c>
      <c r="F12" s="20">
        <v>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4"/>
      <c r="V12" s="22"/>
      <c r="W12" s="22"/>
      <c r="X12" s="22"/>
      <c r="Y12" s="22"/>
      <c r="Z12" s="22"/>
      <c r="AA12" s="22"/>
      <c r="AB12" s="24"/>
      <c r="AD12">
        <f t="shared" si="2"/>
        <v>9</v>
      </c>
    </row>
    <row r="13" spans="1:37" ht="15.75" thickBot="1">
      <c r="A13" s="220">
        <v>6</v>
      </c>
      <c r="B13" s="221" t="s">
        <v>104</v>
      </c>
      <c r="C13" s="218"/>
      <c r="D13" s="219">
        <v>18</v>
      </c>
      <c r="E13" s="219">
        <v>6</v>
      </c>
      <c r="F13" s="219"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4"/>
      <c r="V13" s="22"/>
      <c r="W13" s="22"/>
      <c r="X13" s="22"/>
      <c r="Y13" s="22"/>
      <c r="Z13" s="22"/>
      <c r="AA13" s="22"/>
      <c r="AB13" s="24"/>
      <c r="AD13">
        <f t="shared" si="2"/>
        <v>24</v>
      </c>
    </row>
    <row r="14" spans="1:37" ht="15.75" thickBot="1">
      <c r="A14" s="271"/>
      <c r="B14" s="272"/>
      <c r="C14" s="282"/>
      <c r="D14" s="3"/>
      <c r="E14" s="283"/>
      <c r="F14" s="28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4"/>
      <c r="V14" s="22"/>
      <c r="W14" s="22"/>
      <c r="X14" s="22"/>
      <c r="Y14" s="22"/>
      <c r="Z14" s="22"/>
      <c r="AA14" s="22"/>
      <c r="AB14" s="24"/>
      <c r="AD14" s="137">
        <f>SUM(AD8:AD13)</f>
        <v>135</v>
      </c>
      <c r="AJ14" t="s">
        <v>26</v>
      </c>
      <c r="AK14" t="s">
        <v>77</v>
      </c>
    </row>
    <row r="15" spans="1:37" ht="12" customHeight="1" thickBo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4"/>
      <c r="V15" s="22"/>
      <c r="W15" s="22"/>
      <c r="X15" s="22"/>
      <c r="Y15" s="22"/>
      <c r="Z15" s="22"/>
      <c r="AA15" s="22"/>
      <c r="AB15" s="24"/>
      <c r="AE15" s="110">
        <f>SUM(AE8:AE14)</f>
        <v>10</v>
      </c>
      <c r="AF15" s="111">
        <f>SUM(AF8:AF14)</f>
        <v>10</v>
      </c>
      <c r="AG15" s="111">
        <f>SUM(AG8:AG14)</f>
        <v>34</v>
      </c>
      <c r="AH15" s="112">
        <f>SUM(AH8:AH14)</f>
        <v>0</v>
      </c>
      <c r="AJ15" s="116">
        <f>SUM(AE15:AI15)</f>
        <v>54</v>
      </c>
      <c r="AK15" s="147">
        <f>(0.55*AE15+0.65*AF15+0.75*AG15+0.85*AH15)/AJ15</f>
        <v>0.69444444444444442</v>
      </c>
    </row>
    <row r="16" spans="1:37">
      <c r="A16" s="23" t="s">
        <v>63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4"/>
      <c r="V16" s="22"/>
      <c r="W16" s="22"/>
      <c r="X16" s="22"/>
      <c r="Y16" s="22"/>
      <c r="Z16" s="22"/>
      <c r="AA16" s="22"/>
      <c r="AB16" s="24"/>
    </row>
    <row r="17" spans="1:37" ht="15.75" customHeight="1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4"/>
      <c r="V17" s="22"/>
      <c r="W17" s="22"/>
      <c r="X17" s="22"/>
      <c r="Y17" s="22"/>
      <c r="Z17" s="22"/>
      <c r="AA17" s="22"/>
      <c r="AB17" s="24"/>
      <c r="AD17" s="76" t="s">
        <v>26</v>
      </c>
      <c r="AE17" s="76" t="s">
        <v>72</v>
      </c>
      <c r="AF17" s="76" t="s">
        <v>73</v>
      </c>
      <c r="AG17" s="76" t="s">
        <v>74</v>
      </c>
      <c r="AH17" s="76" t="s">
        <v>75</v>
      </c>
      <c r="AI17" s="76" t="s">
        <v>76</v>
      </c>
    </row>
    <row r="18" spans="1:37">
      <c r="A18" s="4">
        <v>1</v>
      </c>
      <c r="B18" s="138" t="s">
        <v>96</v>
      </c>
      <c r="C18" s="3">
        <v>280</v>
      </c>
      <c r="D18" s="3"/>
      <c r="E18" s="3"/>
      <c r="F18" s="3"/>
      <c r="G18" s="22">
        <v>140</v>
      </c>
      <c r="H18" s="40">
        <f>G18/C18</f>
        <v>0.5</v>
      </c>
      <c r="I18" s="22">
        <v>3</v>
      </c>
      <c r="J18" s="22">
        <v>170</v>
      </c>
      <c r="K18" s="40">
        <f>J18/C18</f>
        <v>0.6071428571428571</v>
      </c>
      <c r="L18" s="26">
        <v>2</v>
      </c>
      <c r="M18" s="26">
        <v>200</v>
      </c>
      <c r="N18" s="40">
        <f>M18/C18</f>
        <v>0.7142857142857143</v>
      </c>
      <c r="O18" s="26">
        <v>2</v>
      </c>
      <c r="P18" s="26">
        <v>220</v>
      </c>
      <c r="Q18" s="40">
        <f>P18/C18</f>
        <v>0.7857142857142857</v>
      </c>
      <c r="R18" s="26">
        <v>2</v>
      </c>
      <c r="S18" s="26">
        <v>240</v>
      </c>
      <c r="T18" s="105">
        <f>S18/C18</f>
        <v>0.8571428571428571</v>
      </c>
      <c r="U18" s="223">
        <v>2</v>
      </c>
      <c r="V18" s="26"/>
      <c r="W18" s="22"/>
      <c r="X18" s="40"/>
      <c r="Y18" s="26"/>
      <c r="Z18" s="26"/>
      <c r="AA18" s="40"/>
      <c r="AB18" s="127"/>
      <c r="AD18">
        <f>SUM(AE18:AI18)</f>
        <v>11</v>
      </c>
      <c r="AE18">
        <v>3</v>
      </c>
      <c r="AF18">
        <v>2</v>
      </c>
      <c r="AG18">
        <v>4</v>
      </c>
      <c r="AH18">
        <v>2</v>
      </c>
    </row>
    <row r="19" spans="1:37">
      <c r="A19" s="4">
        <v>2</v>
      </c>
      <c r="B19" s="138" t="s">
        <v>70</v>
      </c>
      <c r="C19" s="3">
        <f>G3*1.03</f>
        <v>288.40000000000003</v>
      </c>
      <c r="D19" s="3"/>
      <c r="E19" s="3"/>
      <c r="F19" s="3"/>
      <c r="G19" s="22">
        <v>250</v>
      </c>
      <c r="H19" s="40">
        <f>G19/C19</f>
        <v>0.86685159500693476</v>
      </c>
      <c r="I19" s="22">
        <v>3</v>
      </c>
      <c r="J19" s="22">
        <v>3</v>
      </c>
      <c r="K19" s="40"/>
      <c r="L19" s="26"/>
      <c r="M19" s="26"/>
      <c r="N19" s="22"/>
      <c r="O19" s="40"/>
      <c r="P19" s="22"/>
      <c r="Q19" s="22"/>
      <c r="R19" s="22"/>
      <c r="S19" s="22"/>
      <c r="T19" s="22"/>
      <c r="U19" s="24"/>
      <c r="V19" s="22"/>
      <c r="W19" s="22"/>
      <c r="X19" s="22"/>
      <c r="Y19" s="22"/>
      <c r="Z19" s="22"/>
      <c r="AA19" s="22"/>
      <c r="AB19" s="24"/>
      <c r="AD19">
        <f>SUM(AE19:AI19)</f>
        <v>9</v>
      </c>
      <c r="AH19">
        <v>9</v>
      </c>
    </row>
    <row r="20" spans="1:37">
      <c r="A20" s="4">
        <v>3</v>
      </c>
      <c r="B20" s="55" t="s">
        <v>54</v>
      </c>
      <c r="C20" s="3"/>
      <c r="D20" s="3">
        <v>26</v>
      </c>
      <c r="E20" s="3">
        <v>5</v>
      </c>
      <c r="F20" s="3">
        <v>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4"/>
      <c r="V20" s="22"/>
      <c r="W20" s="22"/>
      <c r="X20" s="22"/>
      <c r="Y20" s="22"/>
      <c r="Z20" s="22"/>
      <c r="AA20" s="22"/>
      <c r="AB20" s="24"/>
      <c r="AD20">
        <f>E20*F20</f>
        <v>15</v>
      </c>
    </row>
    <row r="21" spans="1:37">
      <c r="A21" s="4">
        <v>4</v>
      </c>
      <c r="B21" s="53" t="s">
        <v>105</v>
      </c>
      <c r="C21" s="3"/>
      <c r="D21" s="3">
        <v>20</v>
      </c>
      <c r="E21" s="3">
        <v>5</v>
      </c>
      <c r="F21" s="3">
        <v>3</v>
      </c>
      <c r="G21" s="22"/>
      <c r="H21" s="22"/>
      <c r="I21" s="22"/>
      <c r="J21" s="26"/>
      <c r="K21" s="26"/>
      <c r="L21" s="26"/>
      <c r="M21" s="22"/>
      <c r="N21" s="22"/>
      <c r="O21" s="22"/>
      <c r="P21" s="22"/>
      <c r="Q21" s="22"/>
      <c r="R21" s="22"/>
      <c r="S21" s="22"/>
      <c r="T21" s="22"/>
      <c r="U21" s="24"/>
      <c r="V21" s="22"/>
      <c r="W21" s="22"/>
      <c r="X21" s="22"/>
      <c r="Y21" s="22"/>
      <c r="Z21" s="22"/>
      <c r="AA21" s="22"/>
      <c r="AB21" s="24"/>
      <c r="AD21">
        <f>E21*F21</f>
        <v>15</v>
      </c>
    </row>
    <row r="22" spans="1:37">
      <c r="A22" s="4">
        <v>5</v>
      </c>
      <c r="B22" s="53" t="s">
        <v>120</v>
      </c>
      <c r="C22" s="3"/>
      <c r="D22" s="3">
        <v>35</v>
      </c>
      <c r="E22" s="3">
        <v>4</v>
      </c>
      <c r="F22" s="3">
        <v>3</v>
      </c>
      <c r="G22" s="22"/>
      <c r="H22" s="22"/>
      <c r="I22" s="22"/>
      <c r="J22" s="26"/>
      <c r="K22" s="26"/>
      <c r="L22" s="26"/>
      <c r="M22" s="22"/>
      <c r="N22" s="22"/>
      <c r="O22" s="22"/>
      <c r="P22" s="22"/>
      <c r="Q22" s="22"/>
      <c r="R22" s="22"/>
      <c r="S22" s="22"/>
      <c r="T22" s="22"/>
      <c r="U22" s="24"/>
      <c r="V22" s="22"/>
      <c r="W22" s="22"/>
      <c r="X22" s="22"/>
      <c r="Y22" s="22"/>
      <c r="Z22" s="22"/>
      <c r="AA22" s="22"/>
      <c r="AB22" s="24"/>
      <c r="AD22">
        <f>E22*F22</f>
        <v>12</v>
      </c>
    </row>
    <row r="23" spans="1:37" ht="15.75" thickBot="1">
      <c r="A23" s="19">
        <v>6</v>
      </c>
      <c r="B23" s="139" t="s">
        <v>81</v>
      </c>
      <c r="C23" s="3"/>
      <c r="D23" s="3">
        <v>80</v>
      </c>
      <c r="E23" s="3">
        <v>5</v>
      </c>
      <c r="F23" s="3">
        <v>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4"/>
      <c r="V23" s="22"/>
      <c r="W23" s="22"/>
      <c r="X23" s="22"/>
      <c r="Y23" s="22"/>
      <c r="Z23" s="22"/>
      <c r="AA23" s="22"/>
      <c r="AB23" s="24"/>
      <c r="AD23">
        <f>E23*F23</f>
        <v>15</v>
      </c>
    </row>
    <row r="24" spans="1:37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4"/>
      <c r="V24" s="22"/>
      <c r="W24" s="22"/>
      <c r="X24" s="22"/>
      <c r="Y24" s="22"/>
      <c r="Z24" s="22"/>
      <c r="AA24" s="22"/>
      <c r="AB24" s="24"/>
      <c r="AD24" s="140">
        <f>SUM(AD18:AD23)</f>
        <v>77</v>
      </c>
      <c r="AJ24" t="s">
        <v>26</v>
      </c>
      <c r="AK24" t="s">
        <v>77</v>
      </c>
    </row>
    <row r="25" spans="1:37" ht="15.75" thickBot="1">
      <c r="A25" s="23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4"/>
      <c r="V25" s="22"/>
      <c r="W25" s="22"/>
      <c r="X25" s="22"/>
      <c r="Y25" s="22"/>
      <c r="Z25" s="22"/>
      <c r="AA25" s="22"/>
      <c r="AB25" s="24"/>
      <c r="AE25" s="110">
        <f>SUM(AE17:AE24)</f>
        <v>3</v>
      </c>
      <c r="AF25" s="111">
        <f t="shared" ref="AF25:AH25" si="3">SUM(AF17:AF24)</f>
        <v>2</v>
      </c>
      <c r="AG25" s="111">
        <f t="shared" si="3"/>
        <v>4</v>
      </c>
      <c r="AH25" s="111">
        <f t="shared" si="3"/>
        <v>11</v>
      </c>
      <c r="AI25" s="112"/>
      <c r="AJ25" s="116">
        <f>SUM(AE25:AI25)</f>
        <v>20</v>
      </c>
      <c r="AK25" s="143">
        <f>(0.55*AE25+0.65*AF25+0.75*AG25+0.85*AH25+0.95*AI25)/AJ25</f>
        <v>0.76500000000000001</v>
      </c>
    </row>
    <row r="26" spans="1:37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4"/>
      <c r="V26" s="22"/>
      <c r="W26" s="22"/>
      <c r="X26" s="22"/>
      <c r="Y26" s="22"/>
      <c r="Z26" s="22"/>
      <c r="AA26" s="22"/>
      <c r="AB26" s="24"/>
      <c r="AD26" s="76" t="s">
        <v>26</v>
      </c>
      <c r="AE26" s="76" t="s">
        <v>72</v>
      </c>
      <c r="AF26" s="76" t="s">
        <v>73</v>
      </c>
      <c r="AG26" s="76" t="s">
        <v>74</v>
      </c>
      <c r="AH26" s="76" t="s">
        <v>75</v>
      </c>
      <c r="AI26" s="76" t="s">
        <v>76</v>
      </c>
    </row>
    <row r="27" spans="1:37">
      <c r="A27" s="4">
        <v>1</v>
      </c>
      <c r="B27" s="138" t="s">
        <v>13</v>
      </c>
      <c r="C27" s="3">
        <v>280</v>
      </c>
      <c r="D27" s="3"/>
      <c r="E27" s="3"/>
      <c r="F27" s="3"/>
      <c r="G27" s="22">
        <v>140</v>
      </c>
      <c r="H27" s="40">
        <f>G27/C27</f>
        <v>0.5</v>
      </c>
      <c r="I27" s="22">
        <v>5</v>
      </c>
      <c r="J27" s="22">
        <v>170</v>
      </c>
      <c r="K27" s="40">
        <f>J27/C27</f>
        <v>0.6071428571428571</v>
      </c>
      <c r="L27" s="26">
        <v>5</v>
      </c>
      <c r="M27" s="26">
        <v>200</v>
      </c>
      <c r="N27" s="40">
        <f>M27/C27</f>
        <v>0.7142857142857143</v>
      </c>
      <c r="O27" s="26">
        <v>4</v>
      </c>
      <c r="P27" s="26">
        <v>220</v>
      </c>
      <c r="Q27" s="40">
        <f>P27/C27</f>
        <v>0.7857142857142857</v>
      </c>
      <c r="R27" s="150">
        <v>2</v>
      </c>
      <c r="S27" s="128">
        <v>3</v>
      </c>
      <c r="T27" s="40"/>
      <c r="U27" s="224"/>
      <c r="V27" s="128"/>
      <c r="W27" s="22"/>
      <c r="X27" s="22"/>
      <c r="Y27" s="22"/>
      <c r="Z27" s="22"/>
      <c r="AA27" s="22"/>
      <c r="AB27" s="24"/>
      <c r="AD27">
        <f>SUM(AE27:AI27)</f>
        <v>20</v>
      </c>
      <c r="AE27">
        <v>5</v>
      </c>
      <c r="AF27">
        <v>5</v>
      </c>
      <c r="AG27">
        <v>10</v>
      </c>
    </row>
    <row r="28" spans="1:37">
      <c r="A28" s="4">
        <v>2</v>
      </c>
      <c r="B28" s="138" t="s">
        <v>67</v>
      </c>
      <c r="C28" s="3">
        <f>G3*1.1</f>
        <v>308</v>
      </c>
      <c r="D28" s="3"/>
      <c r="E28" s="3"/>
      <c r="F28" s="3"/>
      <c r="G28" s="22">
        <v>240</v>
      </c>
      <c r="H28" s="40">
        <f>G28/C28</f>
        <v>0.77922077922077926</v>
      </c>
      <c r="I28" s="22">
        <v>3</v>
      </c>
      <c r="J28" s="22">
        <v>260</v>
      </c>
      <c r="K28" s="131">
        <f>J28/C28</f>
        <v>0.8441558441558441</v>
      </c>
      <c r="L28" s="26">
        <v>2</v>
      </c>
      <c r="M28" s="26">
        <v>280</v>
      </c>
      <c r="N28" s="40">
        <f>M28/C28</f>
        <v>0.90909090909090906</v>
      </c>
      <c r="O28" s="128">
        <v>1</v>
      </c>
      <c r="P28" s="226">
        <v>300</v>
      </c>
      <c r="Q28" s="227">
        <f>P28/C28</f>
        <v>0.97402597402597402</v>
      </c>
      <c r="R28" s="226">
        <v>1</v>
      </c>
      <c r="S28" s="22"/>
      <c r="T28" s="26"/>
      <c r="U28" s="225"/>
      <c r="V28" s="150"/>
      <c r="W28" s="26"/>
      <c r="X28" s="22"/>
      <c r="Y28" s="22"/>
      <c r="Z28" s="22"/>
      <c r="AA28" s="22"/>
      <c r="AB28" s="24"/>
      <c r="AD28">
        <f>SUM(AE28:AI28)</f>
        <v>6</v>
      </c>
      <c r="AG28">
        <v>3</v>
      </c>
      <c r="AH28">
        <v>2</v>
      </c>
      <c r="AI28">
        <v>1</v>
      </c>
    </row>
    <row r="29" spans="1:37">
      <c r="A29" s="4">
        <v>3</v>
      </c>
      <c r="B29" s="55" t="s">
        <v>33</v>
      </c>
      <c r="C29" s="3"/>
      <c r="D29" s="3">
        <v>50</v>
      </c>
      <c r="E29" s="3">
        <v>4</v>
      </c>
      <c r="F29" s="3">
        <v>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4"/>
      <c r="V29" s="22"/>
      <c r="W29" s="22"/>
      <c r="X29" s="22"/>
      <c r="Y29" s="22"/>
      <c r="Z29" s="22"/>
      <c r="AA29" s="22"/>
      <c r="AB29" s="24"/>
      <c r="AD29">
        <f>E29*F29</f>
        <v>12</v>
      </c>
    </row>
    <row r="30" spans="1:37">
      <c r="A30" s="4">
        <v>4</v>
      </c>
      <c r="B30" s="53" t="s">
        <v>102</v>
      </c>
      <c r="C30" s="3"/>
      <c r="D30" s="3">
        <v>50</v>
      </c>
      <c r="E30" s="3">
        <v>2</v>
      </c>
      <c r="F30" s="3">
        <v>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4"/>
      <c r="V30" s="22"/>
      <c r="W30" s="22"/>
      <c r="X30" s="22"/>
      <c r="Y30" s="22"/>
      <c r="Z30" s="22"/>
      <c r="AA30" s="22"/>
      <c r="AB30" s="24"/>
      <c r="AD30">
        <f>E30*F30</f>
        <v>8</v>
      </c>
    </row>
    <row r="31" spans="1:37" ht="15.75" thickBot="1">
      <c r="A31" s="222">
        <v>5</v>
      </c>
      <c r="B31" s="221" t="s">
        <v>81</v>
      </c>
      <c r="C31" s="219"/>
      <c r="D31" s="219">
        <v>90</v>
      </c>
      <c r="E31" s="219">
        <v>3</v>
      </c>
      <c r="F31" s="219">
        <v>3</v>
      </c>
      <c r="G31" s="22"/>
      <c r="H31" s="22"/>
      <c r="I31" s="22"/>
      <c r="J31" s="26"/>
      <c r="K31" s="26"/>
      <c r="L31" s="22"/>
      <c r="M31" s="22"/>
      <c r="N31" s="22"/>
      <c r="O31" s="22"/>
      <c r="P31" s="22"/>
      <c r="Q31" s="22"/>
      <c r="R31" s="22"/>
      <c r="S31" s="22"/>
      <c r="T31" s="22"/>
      <c r="U31" s="24"/>
      <c r="V31" s="22"/>
      <c r="W31" s="22"/>
      <c r="X31" s="22"/>
      <c r="Y31" s="22"/>
      <c r="Z31" s="22"/>
      <c r="AA31" s="22"/>
      <c r="AB31" s="24"/>
      <c r="AD31">
        <f>E31*F31</f>
        <v>9</v>
      </c>
    </row>
    <row r="32" spans="1:37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4"/>
      <c r="V32" s="22"/>
      <c r="W32" s="22"/>
      <c r="X32" s="22"/>
      <c r="Y32" s="22"/>
      <c r="Z32" s="22"/>
      <c r="AA32" s="22"/>
      <c r="AB32" s="24"/>
      <c r="AD32" s="140">
        <f>SUM(AD27:AD31)</f>
        <v>55</v>
      </c>
      <c r="AJ32" t="s">
        <v>26</v>
      </c>
      <c r="AK32" t="s">
        <v>77</v>
      </c>
    </row>
    <row r="33" spans="1:37" ht="15.75" thickBot="1">
      <c r="A33" s="5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8"/>
      <c r="W33" s="28"/>
      <c r="X33" s="28"/>
      <c r="Y33" s="28"/>
      <c r="Z33" s="28"/>
      <c r="AA33" s="28"/>
      <c r="AB33" s="29"/>
      <c r="AE33" s="110">
        <f>SUM(AE26:AE32)</f>
        <v>5</v>
      </c>
      <c r="AF33" s="111">
        <f t="shared" ref="AF33:AI33" si="4">SUM(AF26:AF32)</f>
        <v>5</v>
      </c>
      <c r="AG33" s="111">
        <f t="shared" si="4"/>
        <v>13</v>
      </c>
      <c r="AH33" s="111">
        <f t="shared" si="4"/>
        <v>2</v>
      </c>
      <c r="AI33" s="112">
        <f t="shared" si="4"/>
        <v>1</v>
      </c>
      <c r="AJ33" s="116">
        <f>SUM(AE33:AI33)</f>
        <v>26</v>
      </c>
      <c r="AK33" s="143">
        <f>(0.55*AE33+0.65*AF33+0.75*AG33+0.85*AH33+0.95*AI33)/AJ33</f>
        <v>0.70769230769230762</v>
      </c>
    </row>
    <row r="34" spans="1:37" ht="15.75" thickBo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E34" s="26"/>
      <c r="AF34" s="26"/>
      <c r="AG34" s="26"/>
      <c r="AH34" s="26"/>
      <c r="AI34" s="26"/>
      <c r="AJ34" s="26"/>
      <c r="AK34" s="105"/>
    </row>
    <row r="35" spans="1:37" ht="15.75" thickBot="1">
      <c r="AE35" s="110">
        <f>AE33+AE25+AE15</f>
        <v>18</v>
      </c>
      <c r="AF35" s="111">
        <f t="shared" ref="AF35:AI35" si="5">AF33+AF25+AF15</f>
        <v>17</v>
      </c>
      <c r="AG35" s="111">
        <f t="shared" si="5"/>
        <v>51</v>
      </c>
      <c r="AH35" s="111">
        <f t="shared" si="5"/>
        <v>13</v>
      </c>
      <c r="AI35" s="112">
        <f t="shared" si="5"/>
        <v>1</v>
      </c>
      <c r="AJ35" s="144">
        <f>AJ33+AJ25+AJ15</f>
        <v>100</v>
      </c>
      <c r="AK35" s="141">
        <f>(0.55*AE35+0.65*AF35+0.75*AG35+0.85*AH35+0.95*AI35)/AJ35</f>
        <v>0.71200000000000008</v>
      </c>
    </row>
    <row r="36" spans="1:37" ht="15.75" thickBot="1">
      <c r="AD36" s="140">
        <f>AD32+AD24+AD14</f>
        <v>267</v>
      </c>
    </row>
  </sheetData>
  <mergeCells count="2">
    <mergeCell ref="A14:C14"/>
    <mergeCell ref="E14:F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Лист4</vt:lpstr>
      <vt:lpstr>Совершенствование скорости</vt:lpstr>
      <vt:lpstr>CI</vt:lpstr>
      <vt:lpstr>CII</vt:lpstr>
      <vt:lpstr>CIII</vt:lpstr>
      <vt:lpstr>CIV</vt:lpstr>
      <vt:lpstr>BI</vt:lpstr>
      <vt:lpstr>BII-a</vt:lpstr>
      <vt:lpstr>BII-b</vt:lpstr>
      <vt:lpstr>BIII</vt:lpstr>
      <vt:lpstr>BIV</vt:lpstr>
      <vt:lpstr>AI</vt:lpstr>
      <vt:lpstr>AII</vt:lpstr>
      <vt:lpstr>Соревнования</vt:lpstr>
      <vt:lpstr>AII!Область_печати</vt:lpstr>
      <vt:lpstr>BI!Область_печати</vt:lpstr>
      <vt:lpstr>'BII-b'!Область_печати</vt:lpstr>
      <vt:lpstr>BIII!Область_печати</vt:lpstr>
      <vt:lpstr>BIV!Область_печати</vt:lpstr>
      <vt:lpstr>CI!Область_печати</vt:lpstr>
      <vt:lpstr>CII!Область_печати</vt:lpstr>
      <vt:lpstr>CIII!Область_печати</vt:lpstr>
      <vt:lpstr>'Совершенствование скорости'!Область_печати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2010</dc:creator>
  <cp:lastModifiedBy>XP GAME 2010</cp:lastModifiedBy>
  <cp:lastPrinted>2013-09-09T09:19:19Z</cp:lastPrinted>
  <dcterms:created xsi:type="dcterms:W3CDTF">2013-05-07T21:47:10Z</dcterms:created>
  <dcterms:modified xsi:type="dcterms:W3CDTF">2013-09-12T18:25:13Z</dcterms:modified>
</cp:coreProperties>
</file>